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sha sana\Desktop\Monisha Vaswani 87 Project\"/>
    </mc:Choice>
  </mc:AlternateContent>
  <xr:revisionPtr revIDLastSave="0" documentId="13_ncr:1_{7CEC7A30-B3A6-40DD-B561-D84D5BC2CBCD}" xr6:coauthVersionLast="47" xr6:coauthVersionMax="47" xr10:uidLastSave="{00000000-0000-0000-0000-000000000000}"/>
  <bookViews>
    <workbookView xWindow="-108" yWindow="-108" windowWidth="23256" windowHeight="12456" activeTab="2" xr2:uid="{977E8977-F109-4139-8B76-C80088239DE8}"/>
  </bookViews>
  <sheets>
    <sheet name="Q1" sheetId="1" r:id="rId1"/>
    <sheet name="Q2" sheetId="2" r:id="rId2"/>
    <sheet name="Q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J7" i="2"/>
  <c r="J8" i="2"/>
  <c r="J9" i="2"/>
  <c r="J10" i="2"/>
  <c r="J11" i="2"/>
  <c r="J12" i="2"/>
  <c r="J13" i="2"/>
  <c r="J14" i="2"/>
  <c r="J15" i="2"/>
  <c r="J6" i="2"/>
  <c r="E6" i="2"/>
  <c r="S5" i="3"/>
  <c r="S6" i="3"/>
  <c r="T6" i="3"/>
  <c r="S7" i="3"/>
  <c r="T7" i="3" s="1"/>
  <c r="S8" i="3"/>
  <c r="T8" i="3" s="1"/>
  <c r="S9" i="3"/>
  <c r="T9" i="3"/>
  <c r="S10" i="3"/>
  <c r="T10" i="3"/>
  <c r="S11" i="3"/>
  <c r="T11" i="3" s="1"/>
  <c r="S12" i="3"/>
  <c r="T12" i="3" s="1"/>
  <c r="S13" i="3"/>
  <c r="T13" i="3"/>
  <c r="S14" i="3"/>
  <c r="T14" i="3"/>
  <c r="N15" i="3"/>
  <c r="O15" i="3" s="1"/>
  <c r="R15" i="3"/>
  <c r="S15" i="3"/>
  <c r="T15" i="3"/>
  <c r="R16" i="3"/>
  <c r="S16" i="3"/>
  <c r="T16" i="3" s="1"/>
  <c r="R17" i="3"/>
  <c r="R18" i="3" s="1"/>
  <c r="S17" i="3"/>
  <c r="T17" i="3" s="1"/>
  <c r="I14" i="3"/>
  <c r="M16" i="3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15" i="3"/>
  <c r="G14" i="3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F14" i="3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E14" i="3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D14" i="3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C14" i="3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14" i="1"/>
  <c r="C6" i="1"/>
  <c r="C7" i="1" s="1"/>
  <c r="C8" i="1" s="1"/>
  <c r="C9" i="1" s="1"/>
  <c r="C10" i="1" s="1"/>
  <c r="C11" i="1" s="1"/>
  <c r="C12" i="1" s="1"/>
  <c r="C13" i="1" s="1"/>
  <c r="I7" i="2"/>
  <c r="I8" i="2"/>
  <c r="I9" i="2"/>
  <c r="I10" i="2"/>
  <c r="I11" i="2"/>
  <c r="I12" i="2"/>
  <c r="I13" i="2"/>
  <c r="I14" i="2"/>
  <c r="I15" i="2"/>
  <c r="I6" i="2"/>
  <c r="D7" i="2"/>
  <c r="D8" i="2"/>
  <c r="D9" i="2"/>
  <c r="D10" i="2"/>
  <c r="D11" i="2"/>
  <c r="D12" i="2"/>
  <c r="D13" i="2"/>
  <c r="D14" i="2"/>
  <c r="D15" i="2"/>
  <c r="D6" i="2"/>
  <c r="AF6" i="1"/>
  <c r="AF7" i="1"/>
  <c r="AF8" i="1"/>
  <c r="AF9" i="1"/>
  <c r="AF10" i="1"/>
  <c r="AF11" i="1"/>
  <c r="AF12" i="1"/>
  <c r="AF13" i="1"/>
  <c r="AF14" i="1"/>
  <c r="AF5" i="1"/>
  <c r="X19" i="1"/>
  <c r="X20" i="1"/>
  <c r="X21" i="1" s="1"/>
  <c r="X22" i="1" s="1"/>
  <c r="X23" i="1" s="1"/>
  <c r="X24" i="1" s="1"/>
  <c r="X25" i="1" s="1"/>
  <c r="X26" i="1" s="1"/>
  <c r="X27" i="1" s="1"/>
  <c r="S19" i="1"/>
  <c r="S20" i="1" s="1"/>
  <c r="S21" i="1" s="1"/>
  <c r="S22" i="1" s="1"/>
  <c r="S23" i="1" s="1"/>
  <c r="S24" i="1" s="1"/>
  <c r="S25" i="1" s="1"/>
  <c r="S26" i="1" s="1"/>
  <c r="S27" i="1" s="1"/>
  <c r="P5" i="1"/>
  <c r="H6" i="1"/>
  <c r="C5" i="1"/>
  <c r="U6" i="1"/>
  <c r="U7" i="1" s="1"/>
  <c r="U8" i="1" s="1"/>
  <c r="U9" i="1" s="1"/>
  <c r="U10" i="1" s="1"/>
  <c r="U11" i="1" s="1"/>
  <c r="U12" i="1" s="1"/>
  <c r="U13" i="1" s="1"/>
  <c r="U14" i="1" s="1"/>
  <c r="J5" i="1"/>
  <c r="K5" i="1" s="1"/>
  <c r="I6" i="1"/>
  <c r="I7" i="1" s="1"/>
  <c r="F7" i="1"/>
  <c r="F8" i="1" s="1"/>
  <c r="F9" i="1" s="1"/>
  <c r="F10" i="1" s="1"/>
  <c r="F11" i="1" s="1"/>
  <c r="E5" i="1"/>
  <c r="G5" i="1" s="1"/>
  <c r="Z19" i="1"/>
  <c r="Z20" i="1" s="1"/>
  <c r="U18" i="1"/>
  <c r="T19" i="1"/>
  <c r="T20" i="1" s="1"/>
  <c r="T21" i="1" s="1"/>
  <c r="T22" i="1" s="1"/>
  <c r="T23" i="1" s="1"/>
  <c r="T24" i="1" s="1"/>
  <c r="T25" i="1" s="1"/>
  <c r="T26" i="1" s="1"/>
  <c r="T27" i="1" s="1"/>
  <c r="T5" i="1"/>
  <c r="T6" i="1" s="1"/>
  <c r="T7" i="1" s="1"/>
  <c r="T8" i="1" s="1"/>
  <c r="T9" i="1" s="1"/>
  <c r="T10" i="1" s="1"/>
  <c r="T11" i="1" s="1"/>
  <c r="T12" i="1" s="1"/>
  <c r="T13" i="1" s="1"/>
  <c r="T14" i="1" s="1"/>
  <c r="R5" i="1"/>
  <c r="R6" i="1" s="1"/>
  <c r="R7" i="1" s="1"/>
  <c r="R8" i="1" s="1"/>
  <c r="R9" i="1" s="1"/>
  <c r="R10" i="1" s="1"/>
  <c r="R11" i="1" s="1"/>
  <c r="R12" i="1" s="1"/>
  <c r="R13" i="1" s="1"/>
  <c r="R14" i="1" s="1"/>
  <c r="S5" i="1"/>
  <c r="S6" i="1" s="1"/>
  <c r="S7" i="1" s="1"/>
  <c r="S8" i="1" s="1"/>
  <c r="S9" i="1" s="1"/>
  <c r="S10" i="1" s="1"/>
  <c r="S11" i="1" s="1"/>
  <c r="S12" i="1" s="1"/>
  <c r="S13" i="1" s="1"/>
  <c r="S14" i="1" s="1"/>
  <c r="S18" i="3" l="1"/>
  <c r="T18" i="3" s="1"/>
  <c r="R19" i="3"/>
  <c r="N16" i="3"/>
  <c r="Q15" i="3"/>
  <c r="H15" i="3" s="1"/>
  <c r="K15" i="3" s="1"/>
  <c r="I15" i="3"/>
  <c r="H14" i="3"/>
  <c r="I16" i="2"/>
  <c r="D16" i="2"/>
  <c r="M14" i="1"/>
  <c r="P6" i="1"/>
  <c r="M8" i="1"/>
  <c r="M7" i="1"/>
  <c r="M9" i="1"/>
  <c r="M10" i="1"/>
  <c r="M11" i="1"/>
  <c r="M12" i="1"/>
  <c r="M13" i="1"/>
  <c r="H7" i="1"/>
  <c r="O5" i="1"/>
  <c r="Y6" i="1"/>
  <c r="AA6" i="1" s="1"/>
  <c r="AC6" i="1" s="1"/>
  <c r="Y10" i="1"/>
  <c r="V6" i="1"/>
  <c r="X6" i="1" s="1"/>
  <c r="Y5" i="1"/>
  <c r="AA5" i="1" s="1"/>
  <c r="AC5" i="1" s="1"/>
  <c r="V8" i="1"/>
  <c r="X8" i="1" s="1"/>
  <c r="M5" i="1"/>
  <c r="Y8" i="1"/>
  <c r="V10" i="1"/>
  <c r="X10" i="1" s="1"/>
  <c r="Y7" i="1"/>
  <c r="V9" i="1"/>
  <c r="X9" i="1" s="1"/>
  <c r="Y13" i="1"/>
  <c r="Y14" i="1"/>
  <c r="V11" i="1"/>
  <c r="X11" i="1" s="1"/>
  <c r="Y12" i="1"/>
  <c r="V12" i="1"/>
  <c r="X12" i="1" s="1"/>
  <c r="Y11" i="1"/>
  <c r="V5" i="1"/>
  <c r="X5" i="1" s="1"/>
  <c r="Y9" i="1"/>
  <c r="V7" i="1"/>
  <c r="X7" i="1" s="1"/>
  <c r="M6" i="1"/>
  <c r="L5" i="1"/>
  <c r="L11" i="1"/>
  <c r="L10" i="1"/>
  <c r="L8" i="1"/>
  <c r="V14" i="1"/>
  <c r="X14" i="1" s="1"/>
  <c r="L9" i="1"/>
  <c r="L7" i="1"/>
  <c r="V13" i="1"/>
  <c r="X13" i="1" s="1"/>
  <c r="L12" i="1"/>
  <c r="L14" i="1"/>
  <c r="L6" i="1"/>
  <c r="L13" i="1"/>
  <c r="I8" i="1"/>
  <c r="J7" i="1"/>
  <c r="K7" i="1" s="1"/>
  <c r="J6" i="1"/>
  <c r="K6" i="1" s="1"/>
  <c r="U19" i="1"/>
  <c r="Z21" i="1"/>
  <c r="Z22" i="1" s="1"/>
  <c r="Z23" i="1" s="1"/>
  <c r="Z24" i="1" s="1"/>
  <c r="E7" i="1"/>
  <c r="G7" i="1" s="1"/>
  <c r="E6" i="1"/>
  <c r="G6" i="1" s="1"/>
  <c r="U20" i="1"/>
  <c r="F12" i="1"/>
  <c r="F13" i="1" s="1"/>
  <c r="F14" i="1" s="1"/>
  <c r="O16" i="3" l="1"/>
  <c r="Q16" i="3"/>
  <c r="N17" i="3"/>
  <c r="R20" i="3"/>
  <c r="S19" i="3"/>
  <c r="T19" i="3" s="1"/>
  <c r="H16" i="3"/>
  <c r="K16" i="3" s="1"/>
  <c r="I16" i="3"/>
  <c r="Z5" i="1"/>
  <c r="O6" i="1"/>
  <c r="Z6" i="1" s="1"/>
  <c r="O7" i="1"/>
  <c r="Z7" i="1" s="1"/>
  <c r="H8" i="1"/>
  <c r="P7" i="1"/>
  <c r="AA7" i="1" s="1"/>
  <c r="AC7" i="1" s="1"/>
  <c r="U21" i="1"/>
  <c r="E8" i="1"/>
  <c r="G8" i="1" s="1"/>
  <c r="I9" i="1"/>
  <c r="J8" i="1"/>
  <c r="K8" i="1" s="1"/>
  <c r="E9" i="1"/>
  <c r="G9" i="1" s="1"/>
  <c r="E10" i="1"/>
  <c r="G10" i="1" s="1"/>
  <c r="Z25" i="1"/>
  <c r="E11" i="1"/>
  <c r="G11" i="1" s="1"/>
  <c r="N18" i="3" l="1"/>
  <c r="O17" i="3"/>
  <c r="Q17" i="3"/>
  <c r="H17" i="3" s="1"/>
  <c r="S20" i="3"/>
  <c r="T20" i="3" s="1"/>
  <c r="R21" i="3"/>
  <c r="AB6" i="1"/>
  <c r="AE6" i="1" s="1"/>
  <c r="AB5" i="1"/>
  <c r="AE5" i="1" s="1"/>
  <c r="AB7" i="1"/>
  <c r="AE7" i="1" s="1"/>
  <c r="O8" i="1"/>
  <c r="Z8" i="1" s="1"/>
  <c r="H9" i="1"/>
  <c r="P8" i="1"/>
  <c r="AA8" i="1" s="1"/>
  <c r="AC8" i="1" s="1"/>
  <c r="U22" i="1"/>
  <c r="I10" i="1"/>
  <c r="J9" i="1"/>
  <c r="K9" i="1" s="1"/>
  <c r="Z26" i="1"/>
  <c r="E12" i="1"/>
  <c r="K17" i="3" l="1"/>
  <c r="N19" i="3"/>
  <c r="O18" i="3"/>
  <c r="Q18" i="3"/>
  <c r="I17" i="3"/>
  <c r="S21" i="3"/>
  <c r="T21" i="3" s="1"/>
  <c r="R22" i="3"/>
  <c r="H18" i="3"/>
  <c r="I18" i="3"/>
  <c r="AB8" i="1"/>
  <c r="AE8" i="1" s="1"/>
  <c r="O9" i="1"/>
  <c r="Z9" i="1" s="1"/>
  <c r="H10" i="1"/>
  <c r="P9" i="1"/>
  <c r="AA9" i="1" s="1"/>
  <c r="AC9" i="1" s="1"/>
  <c r="G12" i="1"/>
  <c r="I11" i="1"/>
  <c r="J10" i="1"/>
  <c r="Z27" i="1"/>
  <c r="E14" i="1" s="1"/>
  <c r="E13" i="1"/>
  <c r="S22" i="3" l="1"/>
  <c r="T22" i="3" s="1"/>
  <c r="R23" i="3"/>
  <c r="O19" i="3"/>
  <c r="Q19" i="3"/>
  <c r="I19" i="3" s="1"/>
  <c r="N20" i="3"/>
  <c r="K18" i="3"/>
  <c r="AB9" i="1"/>
  <c r="AE9" i="1" s="1"/>
  <c r="H11" i="1"/>
  <c r="P10" i="1"/>
  <c r="AA10" i="1" s="1"/>
  <c r="AC10" i="1" s="1"/>
  <c r="K10" i="1"/>
  <c r="O10" i="1"/>
  <c r="Z10" i="1" s="1"/>
  <c r="G14" i="1"/>
  <c r="G13" i="1"/>
  <c r="U23" i="1"/>
  <c r="I12" i="1"/>
  <c r="J11" i="1"/>
  <c r="U24" i="1"/>
  <c r="H19" i="3" l="1"/>
  <c r="K19" i="3" s="1"/>
  <c r="R24" i="3"/>
  <c r="S23" i="3"/>
  <c r="T23" i="3" s="1"/>
  <c r="Q20" i="3"/>
  <c r="N21" i="3"/>
  <c r="O20" i="3"/>
  <c r="I20" i="3"/>
  <c r="H20" i="3"/>
  <c r="K20" i="3" s="1"/>
  <c r="AB10" i="1"/>
  <c r="AE10" i="1" s="1"/>
  <c r="H12" i="1"/>
  <c r="P11" i="1"/>
  <c r="AA11" i="1" s="1"/>
  <c r="AC11" i="1" s="1"/>
  <c r="K11" i="1"/>
  <c r="O11" i="1"/>
  <c r="Z11" i="1" s="1"/>
  <c r="I13" i="1"/>
  <c r="J12" i="1"/>
  <c r="U25" i="1"/>
  <c r="S24" i="3" l="1"/>
  <c r="T24" i="3" s="1"/>
  <c r="R25" i="3"/>
  <c r="N22" i="3"/>
  <c r="O21" i="3"/>
  <c r="Q21" i="3"/>
  <c r="I21" i="3"/>
  <c r="H21" i="3"/>
  <c r="AB11" i="1"/>
  <c r="AE11" i="1" s="1"/>
  <c r="H13" i="1"/>
  <c r="P12" i="1"/>
  <c r="AA12" i="1" s="1"/>
  <c r="AC12" i="1" s="1"/>
  <c r="K12" i="1"/>
  <c r="O12" i="1"/>
  <c r="Z12" i="1" s="1"/>
  <c r="I14" i="1"/>
  <c r="J13" i="1"/>
  <c r="U27" i="1"/>
  <c r="U26" i="1"/>
  <c r="K21" i="3" l="1"/>
  <c r="N23" i="3"/>
  <c r="O22" i="3"/>
  <c r="Q22" i="3"/>
  <c r="R26" i="3"/>
  <c r="S25" i="3"/>
  <c r="T25" i="3" s="1"/>
  <c r="H22" i="3"/>
  <c r="I22" i="3"/>
  <c r="AB12" i="1"/>
  <c r="AE12" i="1" s="1"/>
  <c r="H14" i="1"/>
  <c r="P14" i="1" s="1"/>
  <c r="AA14" i="1" s="1"/>
  <c r="AC14" i="1" s="1"/>
  <c r="P13" i="1"/>
  <c r="AA13" i="1" s="1"/>
  <c r="AC13" i="1" s="1"/>
  <c r="K13" i="1"/>
  <c r="O13" i="1"/>
  <c r="Z13" i="1" s="1"/>
  <c r="J14" i="1"/>
  <c r="R27" i="3" l="1"/>
  <c r="S27" i="3" s="1"/>
  <c r="T27" i="3" s="1"/>
  <c r="S26" i="3"/>
  <c r="T26" i="3" s="1"/>
  <c r="O23" i="3"/>
  <c r="Q23" i="3"/>
  <c r="H23" i="3" s="1"/>
  <c r="N24" i="3"/>
  <c r="I23" i="3"/>
  <c r="K22" i="3"/>
  <c r="AB13" i="1"/>
  <c r="AE13" i="1" s="1"/>
  <c r="K14" i="1"/>
  <c r="O14" i="1"/>
  <c r="Z14" i="1" s="1"/>
  <c r="O24" i="3" l="1"/>
  <c r="Q24" i="3"/>
  <c r="H24" i="3" s="1"/>
  <c r="N25" i="3"/>
  <c r="K23" i="3"/>
  <c r="AB14" i="1"/>
  <c r="AE14" i="1" s="1"/>
  <c r="N26" i="3" l="1"/>
  <c r="Q25" i="3"/>
  <c r="H25" i="3" s="1"/>
  <c r="O25" i="3"/>
  <c r="I24" i="3"/>
  <c r="K24" i="3"/>
  <c r="N27" i="3" l="1"/>
  <c r="O26" i="3"/>
  <c r="Q26" i="3"/>
  <c r="H26" i="3" s="1"/>
  <c r="I25" i="3"/>
  <c r="K25" i="3" s="1"/>
  <c r="I26" i="3" l="1"/>
  <c r="O27" i="3"/>
  <c r="Q27" i="3"/>
  <c r="K26" i="3"/>
  <c r="H27" i="3"/>
  <c r="I27" i="3"/>
  <c r="K2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monisha sana</author>
  </authors>
  <commentList>
    <comment ref="D19" authorId="0" shapeId="0" xr:uid="{42F84811-2DA3-4589-A274-65DB26BCCF28}">
      <text>
        <r>
          <rPr>
            <b/>
            <sz val="9"/>
            <color indexed="81"/>
            <rFont val="Tahoma"/>
            <charset val="1"/>
          </rPr>
          <t>Pricing:</t>
        </r>
        <r>
          <rPr>
            <sz val="9"/>
            <color indexed="81"/>
            <rFont val="Tahoma"/>
            <charset val="1"/>
          </rPr>
          <t xml:space="preserve">
100 is the flat for exchange charges while 36 is servicing cost</t>
        </r>
      </text>
    </comment>
    <comment ref="D20" authorId="0" shapeId="0" xr:uid="{C879C7D1-D72D-4471-B7DE-A2EE6EE4AF91}">
      <text>
        <r>
          <rPr>
            <b/>
            <sz val="9"/>
            <color indexed="81"/>
            <rFont val="Tahoma"/>
            <charset val="1"/>
          </rPr>
          <t>Pricing:</t>
        </r>
        <r>
          <rPr>
            <sz val="9"/>
            <color indexed="81"/>
            <rFont val="Tahoma"/>
            <charset val="1"/>
          </rPr>
          <t xml:space="preserve">
100 is the flat for exchange charges while 48 is servicing cost for international participants</t>
        </r>
      </text>
    </comment>
    <comment ref="D22" authorId="0" shapeId="0" xr:uid="{505F0F8D-65C0-4E19-B9EB-7415371534E5}">
      <text>
        <r>
          <rPr>
            <b/>
            <sz val="9"/>
            <color indexed="81"/>
            <rFont val="Tahoma"/>
            <charset val="1"/>
          </rPr>
          <t>Pricing:</t>
        </r>
        <r>
          <rPr>
            <sz val="9"/>
            <color indexed="81"/>
            <rFont val="Tahoma"/>
            <charset val="1"/>
          </rPr>
          <t xml:space="preserve">
1/2 of 100=50
60% of 48=28.8
Total=78.8
</t>
        </r>
      </text>
    </comment>
  </commentList>
</comments>
</file>

<file path=xl/sharedStrings.xml><?xml version="1.0" encoding="utf-8"?>
<sst xmlns="http://schemas.openxmlformats.org/spreadsheetml/2006/main" count="122" uniqueCount="63">
  <si>
    <t>R&amp;D Expenses</t>
  </si>
  <si>
    <t>Introductory costs</t>
  </si>
  <si>
    <t>INCOME</t>
  </si>
  <si>
    <t>US Russia</t>
  </si>
  <si>
    <t>International</t>
  </si>
  <si>
    <t>total costs</t>
  </si>
  <si>
    <t>growth per yr</t>
  </si>
  <si>
    <t>no. of old particiapnts</t>
  </si>
  <si>
    <t>US &amp; Russia</t>
  </si>
  <si>
    <t>Server Facilities and Costs</t>
  </si>
  <si>
    <t>NA</t>
  </si>
  <si>
    <t>G&amp;A expenses (&amp; working)</t>
  </si>
  <si>
    <t>Allocation</t>
  </si>
  <si>
    <t>Increase</t>
  </si>
  <si>
    <t>Total</t>
  </si>
  <si>
    <t xml:space="preserve">Advertising </t>
  </si>
  <si>
    <t>ETH,BTC,USDC</t>
  </si>
  <si>
    <t>Total(including Alternuim)</t>
  </si>
  <si>
    <t>Alternium</t>
  </si>
  <si>
    <t>Inventory</t>
  </si>
  <si>
    <t>Accounts Payable</t>
  </si>
  <si>
    <t>Side benefits</t>
  </si>
  <si>
    <t>Cost Savings</t>
  </si>
  <si>
    <t>Working Capital</t>
  </si>
  <si>
    <t>Accounts receivable</t>
  </si>
  <si>
    <t>inflation rate</t>
  </si>
  <si>
    <t>Old participants(Without Alternium)</t>
  </si>
  <si>
    <t>New participants(With Alternium)</t>
  </si>
  <si>
    <t>Tax</t>
  </si>
  <si>
    <t>With Alternium</t>
  </si>
  <si>
    <t>Without Alternium</t>
  </si>
  <si>
    <t>Macro Data</t>
  </si>
  <si>
    <t>Revenue</t>
  </si>
  <si>
    <t>Initial Expenses</t>
  </si>
  <si>
    <t>Time period</t>
  </si>
  <si>
    <t>Working notes</t>
  </si>
  <si>
    <t>Total expenses</t>
  </si>
  <si>
    <t>Total firm G&amp;A expense</t>
  </si>
  <si>
    <t>G&amp;A expenses without Alternium</t>
  </si>
  <si>
    <t>Net Revenue</t>
  </si>
  <si>
    <t>Expenses</t>
  </si>
  <si>
    <t>***The figures are in millions***</t>
  </si>
  <si>
    <t>Expense Heads</t>
  </si>
  <si>
    <t>(Per Year)</t>
  </si>
  <si>
    <t>International Participants in Alternium</t>
  </si>
  <si>
    <t xml:space="preserve"> Growth rate</t>
  </si>
  <si>
    <t>Server capacity over the 10 year period</t>
  </si>
  <si>
    <t>General &amp; Administration Expenses</t>
  </si>
  <si>
    <t>After Incremental Cashflows</t>
  </si>
  <si>
    <t>FINAL ANSWER</t>
  </si>
  <si>
    <t>NPV</t>
  </si>
  <si>
    <t>Year</t>
  </si>
  <si>
    <t>Cash Flow</t>
  </si>
  <si>
    <t>i</t>
  </si>
  <si>
    <t>NPV (Without Alternium)</t>
  </si>
  <si>
    <t>Cost of Capital</t>
  </si>
  <si>
    <t>NPV (With Alternium)</t>
  </si>
  <si>
    <t>IRR</t>
  </si>
  <si>
    <t>Internal Rate of Return</t>
  </si>
  <si>
    <t>NPV (for IRR)</t>
  </si>
  <si>
    <t>Advertising</t>
  </si>
  <si>
    <t>NPV(for irr)</t>
  </si>
  <si>
    <t>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</si>
</sst>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0"/>
    <numFmt numFmtId="165" formatCode="0.0000000000"/>
  </numFmts>
  <fonts count="13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37">
    <xf numFmtId="0" fontId="0" fillId="0" borderId="0" xfId="0"/>
    <xf numFmtId="164" fontId="0" fillId="0" borderId="0" xfId="0" applyNumberFormat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1" fontId="0" fillId="2" borderId="9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1" fontId="10" fillId="2" borderId="9" xfId="0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8" fillId="7" borderId="2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8" borderId="29" xfId="0" applyFont="1" applyFill="1" applyBorder="1" applyAlignment="1">
      <alignment horizontal="center"/>
    </xf>
    <xf numFmtId="0" fontId="5" fillId="8" borderId="30" xfId="0" applyFont="1" applyFill="1" applyBorder="1" applyAlignment="1">
      <alignment horizontal="center"/>
    </xf>
    <xf numFmtId="10" fontId="0" fillId="8" borderId="30" xfId="0" applyNumberFormat="1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9" fontId="0" fillId="5" borderId="10" xfId="0" applyNumberForma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9" fontId="0" fillId="5" borderId="12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2" fontId="0" fillId="7" borderId="23" xfId="0" applyNumberFormat="1" applyFill="1" applyBorder="1" applyAlignment="1">
      <alignment horizontal="center"/>
    </xf>
    <xf numFmtId="2" fontId="0" fillId="7" borderId="20" xfId="0" applyNumberFormat="1" applyFill="1" applyBorder="1" applyAlignment="1">
      <alignment horizontal="center"/>
    </xf>
    <xf numFmtId="2" fontId="0" fillId="7" borderId="24" xfId="0" applyNumberFormat="1" applyFill="1" applyBorder="1" applyAlignment="1">
      <alignment horizontal="center"/>
    </xf>
    <xf numFmtId="2" fontId="0" fillId="7" borderId="2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2" fontId="0" fillId="4" borderId="9" xfId="0" applyNumberFormat="1" applyFill="1" applyBorder="1" applyAlignment="1">
      <alignment horizontal="center"/>
    </xf>
    <xf numFmtId="2" fontId="0" fillId="4" borderId="10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6" borderId="9" xfId="0" applyNumberFormat="1" applyFill="1" applyBorder="1" applyAlignment="1">
      <alignment horizontal="center"/>
    </xf>
    <xf numFmtId="2" fontId="0" fillId="6" borderId="10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2" fontId="0" fillId="4" borderId="11" xfId="0" applyNumberFormat="1" applyFill="1" applyBorder="1" applyAlignment="1">
      <alignment horizontal="center"/>
    </xf>
    <xf numFmtId="2" fontId="0" fillId="4" borderId="12" xfId="0" applyNumberFormat="1" applyFill="1" applyBorder="1" applyAlignment="1">
      <alignment horizontal="center"/>
    </xf>
    <xf numFmtId="2" fontId="0" fillId="4" borderId="14" xfId="0" applyNumberFormat="1" applyFill="1" applyBorder="1" applyAlignment="1">
      <alignment horizontal="center"/>
    </xf>
    <xf numFmtId="2" fontId="0" fillId="6" borderId="11" xfId="0" applyNumberFormat="1" applyFill="1" applyBorder="1" applyAlignment="1">
      <alignment horizontal="center"/>
    </xf>
    <xf numFmtId="2" fontId="0" fillId="6" borderId="12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7" borderId="2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6" borderId="11" xfId="0" applyFill="1" applyBorder="1" applyAlignment="1">
      <alignment horizontal="center"/>
    </xf>
    <xf numFmtId="9" fontId="0" fillId="6" borderId="12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10" fontId="0" fillId="6" borderId="2" xfId="0" applyNumberFormat="1" applyFill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5" fillId="2" borderId="6" xfId="0" applyFont="1" applyFill="1" applyBorder="1" applyAlignment="1">
      <alignment horizontal="center"/>
    </xf>
    <xf numFmtId="43" fontId="0" fillId="2" borderId="6" xfId="1" applyFont="1" applyFill="1" applyBorder="1" applyAlignment="1">
      <alignment horizontal="center"/>
    </xf>
    <xf numFmtId="43" fontId="0" fillId="2" borderId="12" xfId="1" applyFont="1" applyFill="1" applyBorder="1" applyAlignment="1">
      <alignment horizontal="center"/>
    </xf>
    <xf numFmtId="9" fontId="0" fillId="0" borderId="0" xfId="0" applyNumberFormat="1" applyAlignment="1">
      <alignment horizontal="center"/>
    </xf>
    <xf numFmtId="0" fontId="0" fillId="9" borderId="2" xfId="0" applyFill="1" applyBorder="1" applyAlignment="1">
      <alignment horizontal="center"/>
    </xf>
    <xf numFmtId="9" fontId="0" fillId="9" borderId="2" xfId="0" applyNumberForma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1" fillId="7" borderId="17" xfId="0" applyFont="1" applyFill="1" applyBorder="1" applyAlignment="1">
      <alignment horizontal="center"/>
    </xf>
    <xf numFmtId="0" fontId="11" fillId="7" borderId="18" xfId="0" applyFont="1" applyFill="1" applyBorder="1" applyAlignment="1">
      <alignment horizontal="center"/>
    </xf>
    <xf numFmtId="0" fontId="11" fillId="7" borderId="19" xfId="0" applyFont="1" applyFill="1" applyBorder="1" applyAlignment="1">
      <alignment horizontal="center"/>
    </xf>
    <xf numFmtId="0" fontId="11" fillId="7" borderId="15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2" fontId="0" fillId="7" borderId="9" xfId="0" applyNumberFormat="1" applyFill="1" applyBorder="1" applyAlignment="1">
      <alignment horizontal="center"/>
    </xf>
    <xf numFmtId="2" fontId="0" fillId="7" borderId="10" xfId="0" applyNumberFormat="1" applyFill="1" applyBorder="1" applyAlignment="1">
      <alignment horizontal="center"/>
    </xf>
    <xf numFmtId="2" fontId="0" fillId="7" borderId="11" xfId="0" applyNumberFormat="1" applyFill="1" applyBorder="1" applyAlignment="1">
      <alignment horizontal="center"/>
    </xf>
    <xf numFmtId="2" fontId="0" fillId="7" borderId="12" xfId="0" applyNumberForma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3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8" fillId="7" borderId="33" xfId="0" applyFont="1" applyFill="1" applyBorder="1" applyAlignment="1">
      <alignment horizontal="center"/>
    </xf>
    <xf numFmtId="0" fontId="8" fillId="7" borderId="34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0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NPV (With and Without Alternium)</a:t>
            </a:r>
          </a:p>
          <a:p>
            <a:pPr>
              <a:defRPr/>
            </a:pPr>
            <a:endParaRPr lang="en-IN"/>
          </a:p>
        </c:rich>
      </c:tx>
      <c:layout>
        <c:manualLayout>
          <c:xMode val="edge"/>
          <c:yMode val="edge"/>
          <c:x val="0.23561278863232682"/>
          <c:y val="2.0325203252032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0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'Q2'!$D$6:$D$15</c:f>
              <c:numCache>
                <c:formatCode>0.0000</c:formatCode>
                <c:ptCount val="10"/>
                <c:pt idx="0">
                  <c:v>7918.9459459459458</c:v>
                </c:pt>
                <c:pt idx="1">
                  <c:v>7985.5956464572646</c:v>
                </c:pt>
                <c:pt idx="2">
                  <c:v>7953.541199239924</c:v>
                </c:pt>
                <c:pt idx="3">
                  <c:v>7910.1617391100126</c:v>
                </c:pt>
                <c:pt idx="4">
                  <c:v>7857.5839390443771</c:v>
                </c:pt>
                <c:pt idx="5">
                  <c:v>7486.632762159431</c:v>
                </c:pt>
                <c:pt idx="6">
                  <c:v>7447.5580997365523</c:v>
                </c:pt>
                <c:pt idx="7">
                  <c:v>7401.8203710668904</c:v>
                </c:pt>
                <c:pt idx="8">
                  <c:v>7350.7983706107652</c:v>
                </c:pt>
                <c:pt idx="9">
                  <c:v>7295.6859849501698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16-4365-922A-0581591FA29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'Q2'!$I$6:$I$15</c:f>
              <c:numCache>
                <c:formatCode>0.0000</c:formatCode>
                <c:ptCount val="10"/>
                <c:pt idx="0">
                  <c:v>7832.4324324324316</c:v>
                </c:pt>
                <c:pt idx="1">
                  <c:v>7695.1424397370311</c:v>
                </c:pt>
                <c:pt idx="2">
                  <c:v>7563.7296458255169</c:v>
                </c:pt>
                <c:pt idx="3">
                  <c:v>7437.9956546211415</c:v>
                </c:pt>
                <c:pt idx="4">
                  <c:v>7317.7483768047614</c:v>
                </c:pt>
                <c:pt idx="5">
                  <c:v>7202.8018669863623</c:v>
                </c:pt>
                <c:pt idx="6">
                  <c:v>7092.9761625906704</c:v>
                </c:pt>
                <c:pt idx="7">
                  <c:v>6988.0971246468534</c:v>
                </c:pt>
                <c:pt idx="8">
                  <c:v>6887.9962806506765</c:v>
                </c:pt>
                <c:pt idx="9">
                  <c:v>6792.5106696476514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16-4365-922A-0581591FA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732943"/>
        <c:axId val="103725871"/>
      </c:lineChart>
      <c:catAx>
        <c:axId val="10373294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25871"/>
        <c:crosses val="autoZero"/>
        <c:auto val="1"/>
        <c:lblAlgn val="ctr"/>
        <c:lblOffset val="100"/>
        <c:noMultiLvlLbl val="0"/>
      </c:catAx>
      <c:valAx>
        <c:axId val="103725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329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NPV Profile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'Q3'!$S$3</c:f>
              <c:strCache>
                <c:ptCount val="1"/>
                <c:pt idx="0">
                  <c:v>NPV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'Q3'!$S$5:$S$27</c:f>
              <c:numCache>
                <c:formatCode>General</c:formatCode>
                <c:ptCount val="23"/>
                <c:pt idx="0">
                  <c:v>7706.1130434782626</c:v>
                </c:pt>
                <c:pt idx="1">
                  <c:v>7494.1795054820404</c:v>
                </c:pt>
                <c:pt idx="2">
                  <c:v>7194.2200995201456</c:v>
                </c:pt>
                <c:pt idx="3">
                  <c:v>6897.7354737623482</c:v>
                </c:pt>
                <c:pt idx="4">
                  <c:v>6606.7260198504728</c:v>
                </c:pt>
                <c:pt idx="5">
                  <c:v>6071.2226127936574</c:v>
                </c:pt>
                <c:pt idx="6">
                  <c:v>5824.8900419273059</c:v>
                </c:pt>
                <c:pt idx="7">
                  <c:v>5584.0624007662018</c:v>
                </c:pt>
                <c:pt idx="8">
                  <c:v>5349.7087515466519</c:v>
                </c:pt>
                <c:pt idx="9">
                  <c:v>5122.5381436339458</c:v>
                </c:pt>
                <c:pt idx="10">
                  <c:v>4904.2734749051951</c:v>
                </c:pt>
                <c:pt idx="11">
                  <c:v>4695.3087790179316</c:v>
                </c:pt>
                <c:pt idx="12">
                  <c:v>4495.2477962597759</c:v>
                </c:pt>
                <c:pt idx="13">
                  <c:v>4303.7111510278382</c:v>
                </c:pt>
                <c:pt idx="14">
                  <c:v>4120.3356324188262</c:v>
                </c:pt>
                <c:pt idx="15">
                  <c:v>3944.7735054722862</c:v>
                </c:pt>
                <c:pt idx="16">
                  <c:v>3776.6918517608588</c:v>
                </c:pt>
                <c:pt idx="17">
                  <c:v>3615.7719380771355</c:v>
                </c:pt>
                <c:pt idx="18">
                  <c:v>3461.708612019936</c:v>
                </c:pt>
                <c:pt idx="19">
                  <c:v>3314.2097233338695</c:v>
                </c:pt>
                <c:pt idx="20">
                  <c:v>3172.995569904861</c:v>
                </c:pt>
                <c:pt idx="21">
                  <c:v>3037.7983673610884</c:v>
                </c:pt>
                <c:pt idx="22">
                  <c:v>2908.3617412735293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D1-498D-817D-0DEE78AF10B2}"/>
            </c:ext>
          </c:extLst>
        </c:ser>
        <c:ser>
          <c:idx val="1"/>
          <c:order val="1"/>
          <c:tx>
            <c:strRef>
              <c:f>'Q3'!$T$3</c:f>
              <c:strCache>
                <c:ptCount val="1"/>
                <c:pt idx="0">
                  <c:v>NPV(for irr)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'Q3'!$T$5:$T$27</c:f>
              <c:numCache>
                <c:formatCode>General</c:formatCode>
                <c:ptCount val="23"/>
                <c:pt idx="0">
                  <c:v>7706.1130434782626</c:v>
                </c:pt>
                <c:pt idx="1">
                  <c:v>7494.1795054820404</c:v>
                </c:pt>
                <c:pt idx="2">
                  <c:v>7194.2200995201456</c:v>
                </c:pt>
                <c:pt idx="3">
                  <c:v>6897.7354737623482</c:v>
                </c:pt>
                <c:pt idx="4">
                  <c:v>6606.7260198504728</c:v>
                </c:pt>
                <c:pt idx="5">
                  <c:v>6071.2226127936574</c:v>
                </c:pt>
                <c:pt idx="6">
                  <c:v>5824.8900419273059</c:v>
                </c:pt>
                <c:pt idx="7">
                  <c:v>5584.0624007662018</c:v>
                </c:pt>
                <c:pt idx="8">
                  <c:v>5349.7087515466519</c:v>
                </c:pt>
                <c:pt idx="9">
                  <c:v>5122.5381436339458</c:v>
                </c:pt>
                <c:pt idx="10">
                  <c:v>4904.2734749051951</c:v>
                </c:pt>
                <c:pt idx="11">
                  <c:v>4695.3087790179316</c:v>
                </c:pt>
                <c:pt idx="12">
                  <c:v>4495.2477962597759</c:v>
                </c:pt>
                <c:pt idx="13">
                  <c:v>4303.7111510278382</c:v>
                </c:pt>
                <c:pt idx="14">
                  <c:v>4120.3356324188262</c:v>
                </c:pt>
                <c:pt idx="15">
                  <c:v>3944.7735054722862</c:v>
                </c:pt>
                <c:pt idx="16">
                  <c:v>3776.6918517608588</c:v>
                </c:pt>
                <c:pt idx="17">
                  <c:v>3615.7719380771355</c:v>
                </c:pt>
                <c:pt idx="18">
                  <c:v>3461.708612019936</c:v>
                </c:pt>
                <c:pt idx="19">
                  <c:v>3314.2097233338695</c:v>
                </c:pt>
                <c:pt idx="20">
                  <c:v>3172.995569904861</c:v>
                </c:pt>
                <c:pt idx="21">
                  <c:v>3037.7983673610884</c:v>
                </c:pt>
                <c:pt idx="22">
                  <c:v>2908.3617412735293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D1-498D-817D-0DEE78AF1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3470911"/>
        <c:axId val="2143485887"/>
      </c:lineChart>
      <c:catAx>
        <c:axId val="21434709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485887"/>
        <c:crosses val="autoZero"/>
        <c:auto val="1"/>
        <c:lblAlgn val="ctr"/>
        <c:lblOffset val="100"/>
        <c:noMultiLvlLbl val="0"/>
      </c:catAx>
      <c:valAx>
        <c:axId val="2143485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470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579120</xdr:colOff>
      <xdr:row>2</xdr:row>
      <xdr:rowOff>68580</xdr:rowOff>
    </xdr:from>
    <xdr:to>
      <xdr:col>15</xdr:col>
      <xdr:colOff>381000</xdr:colOff>
      <xdr:row>15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CF545C-0D3E-4A2B-AFF3-B30AE4D070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</xdr:colOff>
      <xdr:row>28</xdr:row>
      <xdr:rowOff>53340</xdr:rowOff>
    </xdr:from>
    <xdr:to>
      <xdr:col>6</xdr:col>
      <xdr:colOff>1158240</xdr:colOff>
      <xdr:row>43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E640E0-EC9D-4F38-8F05-F48BD8502C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0038B-0B02-4C04-98BE-68CCB8228624}">
  <dimension ref="A1:AG27"/>
  <sheetViews>
    <sheetView topLeftCell="V1" zoomScaleNormal="100" workbookViewId="0">
      <selection activeCell="AD8" sqref="AD8"/>
    </sheetView>
  </sheetViews>
  <sheetFormatPr defaultRowHeight="14.4" x14ac:dyDescent="0.3"/>
  <cols>
    <col min="1" max="1" width="13.6640625" style="40" customWidth="1"/>
    <col min="2" max="4" width="28" style="40" customWidth="1"/>
    <col min="5" max="5" width="12.33203125" style="40" bestFit="1" customWidth="1"/>
    <col min="6" max="6" width="11.33203125" style="40" customWidth="1"/>
    <col min="7" max="7" width="12.77734375" style="40" customWidth="1"/>
    <col min="8" max="8" width="28.109375" style="40" customWidth="1"/>
    <col min="9" max="9" width="14.33203125" style="40" bestFit="1" customWidth="1"/>
    <col min="10" max="10" width="25" style="40" bestFit="1" customWidth="1"/>
    <col min="11" max="11" width="10" style="40" bestFit="1" customWidth="1"/>
    <col min="12" max="12" width="14.6640625" style="40" customWidth="1"/>
    <col min="13" max="13" width="17.21875" style="40" customWidth="1"/>
    <col min="14" max="14" width="17" style="40" customWidth="1"/>
    <col min="15" max="15" width="15.21875" style="40" bestFit="1" customWidth="1"/>
    <col min="16" max="16" width="18.44140625" style="40" bestFit="1" customWidth="1"/>
    <col min="17" max="17" width="16.21875" style="40" customWidth="1"/>
    <col min="18" max="18" width="33" style="40" customWidth="1"/>
    <col min="19" max="19" width="35.21875" style="40" bestFit="1" customWidth="1"/>
    <col min="20" max="20" width="33.5546875" style="40" bestFit="1" customWidth="1"/>
    <col min="21" max="21" width="28.21875" style="40" customWidth="1"/>
    <col min="22" max="22" width="27.77734375" style="40" customWidth="1"/>
    <col min="23" max="23" width="14.6640625" style="40" customWidth="1"/>
    <col min="24" max="24" width="23.33203125" style="40" customWidth="1"/>
    <col min="25" max="25" width="22.109375" style="40" customWidth="1"/>
    <col min="26" max="26" width="30.33203125" style="40" customWidth="1"/>
    <col min="27" max="27" width="25.5546875" style="40" customWidth="1"/>
    <col min="28" max="28" width="23" style="40" customWidth="1"/>
    <col min="29" max="29" width="26" style="40" customWidth="1"/>
    <col min="30" max="30" width="8.88671875" style="40"/>
    <col min="31" max="31" width="13.44140625" style="40" bestFit="1" customWidth="1"/>
    <col min="32" max="32" width="16.21875" style="40" bestFit="1" customWidth="1"/>
    <col min="33" max="16384" width="8.88671875" style="40"/>
  </cols>
  <sheetData>
    <row r="1" spans="1:33" ht="18.600000000000001" thickBot="1" x14ac:dyDescent="0.4">
      <c r="A1" s="108" t="s">
        <v>41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10"/>
      <c r="AE1" s="97" t="s">
        <v>49</v>
      </c>
      <c r="AF1" s="98"/>
    </row>
    <row r="2" spans="1:33" ht="24" customHeight="1" thickBot="1" x14ac:dyDescent="0.5">
      <c r="A2" s="111" t="s">
        <v>40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3"/>
      <c r="O2" s="54"/>
      <c r="P2" s="55"/>
      <c r="Q2" s="55"/>
      <c r="R2" s="111" t="s">
        <v>2</v>
      </c>
      <c r="S2" s="112"/>
      <c r="T2" s="112"/>
      <c r="U2" s="112"/>
      <c r="V2" s="113"/>
      <c r="X2" s="114" t="s">
        <v>32</v>
      </c>
      <c r="Y2" s="115"/>
      <c r="Z2" s="118" t="s">
        <v>39</v>
      </c>
      <c r="AA2" s="119"/>
      <c r="AB2" s="120" t="s">
        <v>28</v>
      </c>
      <c r="AC2" s="115"/>
      <c r="AE2" s="93" t="s">
        <v>48</v>
      </c>
      <c r="AF2" s="94"/>
      <c r="AG2" s="56"/>
    </row>
    <row r="3" spans="1:33" ht="16.8" customHeight="1" x14ac:dyDescent="0.3">
      <c r="A3" s="11" t="s">
        <v>34</v>
      </c>
      <c r="B3" s="106" t="s">
        <v>33</v>
      </c>
      <c r="C3" s="106"/>
      <c r="D3" s="106"/>
      <c r="E3" s="106" t="s">
        <v>11</v>
      </c>
      <c r="F3" s="106"/>
      <c r="G3" s="106"/>
      <c r="H3" s="25" t="s">
        <v>38</v>
      </c>
      <c r="I3" s="106" t="s">
        <v>15</v>
      </c>
      <c r="J3" s="106"/>
      <c r="K3" s="106"/>
      <c r="L3" s="106" t="s">
        <v>23</v>
      </c>
      <c r="M3" s="107"/>
      <c r="O3" s="122" t="s">
        <v>36</v>
      </c>
      <c r="P3" s="123"/>
      <c r="R3" s="104" t="s">
        <v>26</v>
      </c>
      <c r="S3" s="105"/>
      <c r="T3" s="8" t="s">
        <v>27</v>
      </c>
      <c r="U3" s="8" t="s">
        <v>21</v>
      </c>
      <c r="V3" s="9" t="s">
        <v>23</v>
      </c>
      <c r="X3" s="116"/>
      <c r="Y3" s="117"/>
      <c r="Z3" s="116"/>
      <c r="AA3" s="117"/>
      <c r="AB3" s="121"/>
      <c r="AC3" s="117"/>
      <c r="AE3" s="95"/>
      <c r="AF3" s="96"/>
    </row>
    <row r="4" spans="1:33" x14ac:dyDescent="0.3">
      <c r="A4" s="10" t="s">
        <v>42</v>
      </c>
      <c r="B4" s="12" t="s">
        <v>0</v>
      </c>
      <c r="C4" s="12" t="s">
        <v>1</v>
      </c>
      <c r="D4" s="12" t="s">
        <v>9</v>
      </c>
      <c r="E4" s="12" t="s">
        <v>12</v>
      </c>
      <c r="F4" s="12" t="s">
        <v>13</v>
      </c>
      <c r="G4" s="12" t="s">
        <v>14</v>
      </c>
      <c r="H4" s="12" t="s">
        <v>37</v>
      </c>
      <c r="I4" s="12" t="s">
        <v>16</v>
      </c>
      <c r="J4" s="12" t="s">
        <v>17</v>
      </c>
      <c r="K4" s="12" t="s">
        <v>18</v>
      </c>
      <c r="L4" s="12" t="s">
        <v>19</v>
      </c>
      <c r="M4" s="13" t="s">
        <v>20</v>
      </c>
      <c r="O4" s="14" t="s">
        <v>29</v>
      </c>
      <c r="P4" s="14" t="s">
        <v>30</v>
      </c>
      <c r="R4" s="21" t="s">
        <v>3</v>
      </c>
      <c r="S4" s="15" t="s">
        <v>4</v>
      </c>
      <c r="T4" s="15" t="s">
        <v>4</v>
      </c>
      <c r="U4" s="15" t="s">
        <v>22</v>
      </c>
      <c r="V4" s="16" t="s">
        <v>24</v>
      </c>
      <c r="W4" s="57"/>
      <c r="X4" s="17" t="s">
        <v>29</v>
      </c>
      <c r="Y4" s="18" t="s">
        <v>30</v>
      </c>
      <c r="Z4" s="17" t="s">
        <v>29</v>
      </c>
      <c r="AA4" s="18" t="s">
        <v>30</v>
      </c>
      <c r="AB4" s="19" t="s">
        <v>29</v>
      </c>
      <c r="AC4" s="18" t="s">
        <v>30</v>
      </c>
      <c r="AE4" s="22" t="s">
        <v>29</v>
      </c>
      <c r="AF4" s="23" t="s">
        <v>30</v>
      </c>
    </row>
    <row r="5" spans="1:33" x14ac:dyDescent="0.3">
      <c r="A5" s="6">
        <v>1</v>
      </c>
      <c r="B5" s="3">
        <v>150</v>
      </c>
      <c r="C5" s="3">
        <f>1000*(1-8%)</f>
        <v>920</v>
      </c>
      <c r="D5" s="3" t="s">
        <v>10</v>
      </c>
      <c r="E5" s="3">
        <f>10%*Z18</f>
        <v>40</v>
      </c>
      <c r="F5" s="3">
        <v>0</v>
      </c>
      <c r="G5" s="3">
        <f>SUM(E5:F5)</f>
        <v>40</v>
      </c>
      <c r="H5" s="3">
        <v>400</v>
      </c>
      <c r="I5" s="3">
        <v>500</v>
      </c>
      <c r="J5" s="3">
        <f>I5*(1+15%)</f>
        <v>575</v>
      </c>
      <c r="K5" s="3">
        <f t="shared" ref="K5:K14" si="0">J5-I5</f>
        <v>75</v>
      </c>
      <c r="L5" s="3">
        <f>10%*(R5+S5+T5)</f>
        <v>1095.4000000000001</v>
      </c>
      <c r="M5" s="48">
        <f>(6%*(SUM(R5:T5)))</f>
        <v>657.24</v>
      </c>
      <c r="O5" s="58">
        <f t="shared" ref="O5:O14" si="1">SUM(B5:D5,G5,J5)</f>
        <v>1685</v>
      </c>
      <c r="P5" s="59">
        <f>H5+I5</f>
        <v>900</v>
      </c>
      <c r="R5" s="2">
        <f>(C19*D19)</f>
        <v>6120</v>
      </c>
      <c r="S5" s="3">
        <f>C20*D20</f>
        <v>4440</v>
      </c>
      <c r="T5" s="3">
        <f>$C$22*$D$22</f>
        <v>394</v>
      </c>
      <c r="U5" s="3">
        <v>30</v>
      </c>
      <c r="V5" s="48">
        <f t="shared" ref="V5:V14" si="2">5%*(R5+S5+T5)</f>
        <v>547.70000000000005</v>
      </c>
      <c r="X5" s="58">
        <f>SUM(R5:V5)</f>
        <v>11531.7</v>
      </c>
      <c r="Y5" s="59">
        <f>SUM(R5:S5)</f>
        <v>10560</v>
      </c>
      <c r="Z5" s="58">
        <f>X5-O5</f>
        <v>9846.7000000000007</v>
      </c>
      <c r="AA5" s="59">
        <f>Y5-P5</f>
        <v>9660</v>
      </c>
      <c r="AB5" s="60">
        <f>10%*Z5</f>
        <v>984.67000000000007</v>
      </c>
      <c r="AC5" s="59">
        <f>10%*AA5</f>
        <v>966</v>
      </c>
      <c r="AE5" s="61">
        <f>Z5-AB5</f>
        <v>8862.0300000000007</v>
      </c>
      <c r="AF5" s="62">
        <f>AA5-AC5</f>
        <v>8694</v>
      </c>
    </row>
    <row r="6" spans="1:33" x14ac:dyDescent="0.3">
      <c r="A6" s="6">
        <v>2</v>
      </c>
      <c r="B6" s="3">
        <v>0</v>
      </c>
      <c r="C6" s="3">
        <f>C5-80</f>
        <v>840</v>
      </c>
      <c r="D6" s="3" t="s">
        <v>10</v>
      </c>
      <c r="E6" s="3">
        <f t="shared" ref="E6:E14" si="3">10%*Z19</f>
        <v>42</v>
      </c>
      <c r="F6" s="3">
        <v>40</v>
      </c>
      <c r="G6" s="3">
        <f t="shared" ref="G6:G14" si="4">SUM(E6:F6)</f>
        <v>82</v>
      </c>
      <c r="H6" s="3">
        <f>H5*(1+5%)</f>
        <v>420</v>
      </c>
      <c r="I6" s="3">
        <f>I5*(1+5%)</f>
        <v>525</v>
      </c>
      <c r="J6" s="3">
        <f t="shared" ref="J6:J14" si="5">I6*(1+15%)</f>
        <v>603.75</v>
      </c>
      <c r="K6" s="3">
        <f t="shared" si="0"/>
        <v>78.75</v>
      </c>
      <c r="L6" s="3">
        <f t="shared" ref="L6:L14" si="6">10%*(R6+S6+T6)</f>
        <v>1191.1552799999997</v>
      </c>
      <c r="M6" s="48">
        <f t="shared" ref="M6:M14" si="7">6%*(SUM(R6:T6))</f>
        <v>714.69316799999979</v>
      </c>
      <c r="O6" s="58">
        <f t="shared" si="1"/>
        <v>1525.75</v>
      </c>
      <c r="P6" s="59">
        <f t="shared" ref="P6:P14" si="8">H6+I6</f>
        <v>945</v>
      </c>
      <c r="R6" s="2">
        <f>(R5*(1+$E$19))*(1+$D$17)</f>
        <v>6522.3899999999994</v>
      </c>
      <c r="S6" s="3">
        <f>S5*(1+$E$20)*(1+$D$17)</f>
        <v>4957.2599999999993</v>
      </c>
      <c r="T6" s="3">
        <f>(T5*(1+$E$22))*(1+$D$17)</f>
        <v>431.90280000000001</v>
      </c>
      <c r="U6" s="3">
        <f>U5*(1+3%)</f>
        <v>30.900000000000002</v>
      </c>
      <c r="V6" s="48">
        <f t="shared" si="2"/>
        <v>595.57763999999986</v>
      </c>
      <c r="X6" s="58">
        <f t="shared" ref="X6:X14" si="9">SUM(R6:V6)</f>
        <v>12538.030439999997</v>
      </c>
      <c r="Y6" s="59">
        <f t="shared" ref="Y6:Y13" si="10">SUM(R6:S6)</f>
        <v>11479.649999999998</v>
      </c>
      <c r="Z6" s="58">
        <f t="shared" ref="Z6:Z14" si="11">X6-O6</f>
        <v>11012.280439999997</v>
      </c>
      <c r="AA6" s="59">
        <f t="shared" ref="AA6:AA14" si="12">Y6-P6</f>
        <v>10534.649999999998</v>
      </c>
      <c r="AB6" s="60">
        <f t="shared" ref="AB6:AB14" si="13">10%*Z6</f>
        <v>1101.2280439999997</v>
      </c>
      <c r="AC6" s="59">
        <f t="shared" ref="AC6:AC14" si="14">10%*AA6</f>
        <v>1053.4649999999999</v>
      </c>
      <c r="AE6" s="61">
        <f t="shared" ref="AE6:AE14" si="15">Z6-AB6</f>
        <v>9911.0523959999973</v>
      </c>
      <c r="AF6" s="62">
        <f t="shared" ref="AF6:AF14" si="16">AA6-AC6</f>
        <v>9481.1849999999977</v>
      </c>
    </row>
    <row r="7" spans="1:33" x14ac:dyDescent="0.3">
      <c r="A7" s="6">
        <v>3</v>
      </c>
      <c r="B7" s="3">
        <v>0</v>
      </c>
      <c r="C7" s="3">
        <f t="shared" ref="C7:C13" si="17">C6-80</f>
        <v>760</v>
      </c>
      <c r="D7" s="3" t="s">
        <v>10</v>
      </c>
      <c r="E7" s="3">
        <f t="shared" si="3"/>
        <v>44.1</v>
      </c>
      <c r="F7" s="3">
        <f>40*(1+10%)</f>
        <v>44</v>
      </c>
      <c r="G7" s="3">
        <f t="shared" si="4"/>
        <v>88.1</v>
      </c>
      <c r="H7" s="3">
        <f t="shared" ref="H7:H14" si="18">H6*(1+5%)</f>
        <v>441</v>
      </c>
      <c r="I7" s="3">
        <f t="shared" ref="I7:I14" si="19">I6*(1+5%)</f>
        <v>551.25</v>
      </c>
      <c r="J7" s="3">
        <f t="shared" si="5"/>
        <v>633.9375</v>
      </c>
      <c r="K7" s="3">
        <f t="shared" si="0"/>
        <v>82.6875</v>
      </c>
      <c r="L7" s="3">
        <f t="shared" si="6"/>
        <v>1295.946978186</v>
      </c>
      <c r="M7" s="48">
        <f t="shared" si="7"/>
        <v>777.56818691159992</v>
      </c>
      <c r="O7" s="58">
        <f t="shared" si="1"/>
        <v>1482.0374999999999</v>
      </c>
      <c r="P7" s="59">
        <f t="shared" si="8"/>
        <v>992.25</v>
      </c>
      <c r="R7" s="2">
        <f t="shared" ref="R7:R14" si="20">(R6*(1+$E$19))*(1+$D$17)</f>
        <v>6951.2371424999992</v>
      </c>
      <c r="S7" s="3">
        <f t="shared" ref="S7:S14" si="21">S6*(1+$E$20)*(1+$D$17)</f>
        <v>5534.7807899999989</v>
      </c>
      <c r="T7" s="3">
        <f t="shared" ref="T7:T14" si="22">(T6*(1+$E$22))*(1+$D$17)</f>
        <v>473.45184935999998</v>
      </c>
      <c r="U7" s="3">
        <f t="shared" ref="U7:U14" si="23">U6*(1+3%)</f>
        <v>31.827000000000002</v>
      </c>
      <c r="V7" s="48">
        <f t="shared" si="2"/>
        <v>647.97348909300001</v>
      </c>
      <c r="X7" s="58">
        <f t="shared" si="9"/>
        <v>13639.270270952999</v>
      </c>
      <c r="Y7" s="59">
        <f t="shared" si="10"/>
        <v>12486.017932499999</v>
      </c>
      <c r="Z7" s="58">
        <f t="shared" si="11"/>
        <v>12157.232770952998</v>
      </c>
      <c r="AA7" s="59">
        <f t="shared" si="12"/>
        <v>11493.767932499999</v>
      </c>
      <c r="AB7" s="60">
        <f t="shared" si="13"/>
        <v>1215.7232770952999</v>
      </c>
      <c r="AC7" s="59">
        <f t="shared" si="14"/>
        <v>1149.37679325</v>
      </c>
      <c r="AE7" s="61">
        <f t="shared" si="15"/>
        <v>10941.509493857699</v>
      </c>
      <c r="AF7" s="62">
        <f t="shared" si="16"/>
        <v>10344.391139249999</v>
      </c>
    </row>
    <row r="8" spans="1:33" x14ac:dyDescent="0.3">
      <c r="A8" s="6">
        <v>4</v>
      </c>
      <c r="B8" s="3">
        <v>0</v>
      </c>
      <c r="C8" s="3">
        <f t="shared" si="17"/>
        <v>680</v>
      </c>
      <c r="D8" s="3" t="s">
        <v>10</v>
      </c>
      <c r="E8" s="3">
        <f t="shared" si="3"/>
        <v>46.305000000000007</v>
      </c>
      <c r="F8" s="3">
        <f>F7*(1+10%)</f>
        <v>48.400000000000006</v>
      </c>
      <c r="G8" s="3">
        <f t="shared" si="4"/>
        <v>94.705000000000013</v>
      </c>
      <c r="H8" s="3">
        <f t="shared" si="18"/>
        <v>463.05</v>
      </c>
      <c r="I8" s="3">
        <f t="shared" si="19"/>
        <v>578.8125</v>
      </c>
      <c r="J8" s="3">
        <f t="shared" si="5"/>
        <v>665.63437499999998</v>
      </c>
      <c r="K8" s="3">
        <f t="shared" si="0"/>
        <v>86.821874999999977</v>
      </c>
      <c r="L8" s="3">
        <f t="shared" si="6"/>
        <v>1410.6861653922806</v>
      </c>
      <c r="M8" s="48">
        <f t="shared" si="7"/>
        <v>846.41169923536836</v>
      </c>
      <c r="O8" s="58">
        <f t="shared" si="1"/>
        <v>1440.339375</v>
      </c>
      <c r="P8" s="59">
        <f t="shared" si="8"/>
        <v>1041.8625</v>
      </c>
      <c r="R8" s="2">
        <f t="shared" si="20"/>
        <v>7408.2809846193741</v>
      </c>
      <c r="S8" s="3">
        <f t="shared" si="21"/>
        <v>6179.5827520349985</v>
      </c>
      <c r="T8" s="3">
        <f t="shared" si="22"/>
        <v>518.99791726843193</v>
      </c>
      <c r="U8" s="3">
        <f t="shared" si="23"/>
        <v>32.78181</v>
      </c>
      <c r="V8" s="48">
        <f t="shared" si="2"/>
        <v>705.3430826961403</v>
      </c>
      <c r="X8" s="58">
        <f t="shared" si="9"/>
        <v>14844.986546618948</v>
      </c>
      <c r="Y8" s="59">
        <f t="shared" si="10"/>
        <v>13587.863736654373</v>
      </c>
      <c r="Z8" s="58">
        <f t="shared" si="11"/>
        <v>13404.647171618948</v>
      </c>
      <c r="AA8" s="59">
        <f t="shared" si="12"/>
        <v>12546.001236654374</v>
      </c>
      <c r="AB8" s="60">
        <f t="shared" si="13"/>
        <v>1340.4647171618949</v>
      </c>
      <c r="AC8" s="59">
        <f t="shared" si="14"/>
        <v>1254.6001236654374</v>
      </c>
      <c r="AE8" s="61">
        <f t="shared" si="15"/>
        <v>12064.182454457054</v>
      </c>
      <c r="AF8" s="62">
        <f t="shared" si="16"/>
        <v>11291.401112988937</v>
      </c>
    </row>
    <row r="9" spans="1:33" x14ac:dyDescent="0.3">
      <c r="A9" s="6">
        <v>5</v>
      </c>
      <c r="B9" s="3">
        <v>0</v>
      </c>
      <c r="C9" s="3">
        <f t="shared" si="17"/>
        <v>600</v>
      </c>
      <c r="D9" s="3" t="s">
        <v>10</v>
      </c>
      <c r="E9" s="3">
        <f t="shared" si="3"/>
        <v>48.620250000000006</v>
      </c>
      <c r="F9" s="3">
        <f t="shared" ref="F9:F14" si="24">F8*(1+10%)</f>
        <v>53.240000000000009</v>
      </c>
      <c r="G9" s="3">
        <f t="shared" si="4"/>
        <v>101.86025000000001</v>
      </c>
      <c r="H9" s="3">
        <f t="shared" si="18"/>
        <v>486.20250000000004</v>
      </c>
      <c r="I9" s="3">
        <f t="shared" si="19"/>
        <v>607.75312500000007</v>
      </c>
      <c r="J9" s="3">
        <f t="shared" si="5"/>
        <v>698.91609375000007</v>
      </c>
      <c r="K9" s="3">
        <f t="shared" si="0"/>
        <v>91.162968750000005</v>
      </c>
      <c r="L9" s="3">
        <f t="shared" si="6"/>
        <v>1536.3805118914829</v>
      </c>
      <c r="M9" s="48">
        <f t="shared" si="7"/>
        <v>921.82830713488966</v>
      </c>
      <c r="O9" s="58">
        <f t="shared" si="1"/>
        <v>1400.77634375</v>
      </c>
      <c r="P9" s="59">
        <f t="shared" si="8"/>
        <v>1093.9556250000001</v>
      </c>
      <c r="R9" s="2">
        <f t="shared" si="20"/>
        <v>7895.375459358097</v>
      </c>
      <c r="S9" s="3">
        <f t="shared" si="21"/>
        <v>6899.5041426470752</v>
      </c>
      <c r="T9" s="3">
        <f t="shared" si="22"/>
        <v>568.92551690965502</v>
      </c>
      <c r="U9" s="3">
        <f t="shared" si="23"/>
        <v>33.765264299999998</v>
      </c>
      <c r="V9" s="48">
        <f t="shared" si="2"/>
        <v>768.19025594574146</v>
      </c>
      <c r="X9" s="58">
        <f t="shared" si="9"/>
        <v>16165.76063916057</v>
      </c>
      <c r="Y9" s="59">
        <f t="shared" si="10"/>
        <v>14794.879602005172</v>
      </c>
      <c r="Z9" s="58">
        <f t="shared" si="11"/>
        <v>14764.98429541057</v>
      </c>
      <c r="AA9" s="59">
        <f t="shared" si="12"/>
        <v>13700.923977005172</v>
      </c>
      <c r="AB9" s="60">
        <f t="shared" si="13"/>
        <v>1476.498429541057</v>
      </c>
      <c r="AC9" s="59">
        <f t="shared" si="14"/>
        <v>1370.0923977005173</v>
      </c>
      <c r="AE9" s="61">
        <f t="shared" si="15"/>
        <v>13288.485865869512</v>
      </c>
      <c r="AF9" s="62">
        <f t="shared" si="16"/>
        <v>12330.831579304655</v>
      </c>
    </row>
    <row r="10" spans="1:33" x14ac:dyDescent="0.3">
      <c r="A10" s="6">
        <v>6</v>
      </c>
      <c r="B10" s="3">
        <v>0</v>
      </c>
      <c r="C10" s="3">
        <f t="shared" si="17"/>
        <v>520</v>
      </c>
      <c r="D10" s="3">
        <v>646.37040233062476</v>
      </c>
      <c r="E10" s="3">
        <f t="shared" si="3"/>
        <v>51.051262500000007</v>
      </c>
      <c r="F10" s="3">
        <f t="shared" si="24"/>
        <v>58.564000000000014</v>
      </c>
      <c r="G10" s="3">
        <f t="shared" si="4"/>
        <v>109.61526250000003</v>
      </c>
      <c r="H10" s="3">
        <f t="shared" si="18"/>
        <v>510.51262500000007</v>
      </c>
      <c r="I10" s="3">
        <f t="shared" si="19"/>
        <v>638.14078125000015</v>
      </c>
      <c r="J10" s="3">
        <f t="shared" si="5"/>
        <v>733.86189843750014</v>
      </c>
      <c r="K10" s="3">
        <f t="shared" si="0"/>
        <v>95.721117187499999</v>
      </c>
      <c r="L10" s="3">
        <f t="shared" si="6"/>
        <v>1674.1448922712716</v>
      </c>
      <c r="M10" s="48">
        <f t="shared" si="7"/>
        <v>1004.4869353627629</v>
      </c>
      <c r="O10" s="58">
        <f t="shared" si="1"/>
        <v>2009.8475632681248</v>
      </c>
      <c r="P10" s="59">
        <f t="shared" si="8"/>
        <v>1148.6534062500002</v>
      </c>
      <c r="R10" s="2">
        <f t="shared" si="20"/>
        <v>8414.496395810891</v>
      </c>
      <c r="S10" s="3">
        <f t="shared" si="21"/>
        <v>7703.2963752654596</v>
      </c>
      <c r="T10" s="3">
        <f t="shared" si="22"/>
        <v>623.6561516363638</v>
      </c>
      <c r="U10" s="3">
        <f t="shared" si="23"/>
        <v>34.778222229000001</v>
      </c>
      <c r="V10" s="48">
        <f t="shared" si="2"/>
        <v>837.0724461356358</v>
      </c>
      <c r="X10" s="58">
        <f t="shared" si="9"/>
        <v>17613.299591077353</v>
      </c>
      <c r="Y10" s="59">
        <f t="shared" si="10"/>
        <v>16117.792771076351</v>
      </c>
      <c r="Z10" s="58">
        <f t="shared" si="11"/>
        <v>15603.452027809228</v>
      </c>
      <c r="AA10" s="59">
        <f t="shared" si="12"/>
        <v>14969.139364826351</v>
      </c>
      <c r="AB10" s="60">
        <f t="shared" si="13"/>
        <v>1560.3452027809228</v>
      </c>
      <c r="AC10" s="59">
        <f t="shared" si="14"/>
        <v>1496.9139364826351</v>
      </c>
      <c r="AE10" s="61">
        <f t="shared" si="15"/>
        <v>14043.106825028304</v>
      </c>
      <c r="AF10" s="62">
        <f t="shared" si="16"/>
        <v>13472.225428343716</v>
      </c>
    </row>
    <row r="11" spans="1:33" x14ac:dyDescent="0.3">
      <c r="A11" s="6">
        <v>7</v>
      </c>
      <c r="B11" s="3">
        <v>0</v>
      </c>
      <c r="C11" s="3">
        <f t="shared" si="17"/>
        <v>440</v>
      </c>
      <c r="D11" s="3">
        <v>656.06595836558404</v>
      </c>
      <c r="E11" s="3">
        <f t="shared" si="3"/>
        <v>53.603825625000013</v>
      </c>
      <c r="F11" s="3">
        <f t="shared" si="24"/>
        <v>64.420400000000015</v>
      </c>
      <c r="G11" s="3">
        <f t="shared" si="4"/>
        <v>118.02422562500003</v>
      </c>
      <c r="H11" s="3">
        <f t="shared" si="18"/>
        <v>536.03825625000013</v>
      </c>
      <c r="I11" s="3">
        <f t="shared" si="19"/>
        <v>670.04782031250022</v>
      </c>
      <c r="J11" s="3">
        <f t="shared" si="5"/>
        <v>770.5549933593752</v>
      </c>
      <c r="K11" s="3">
        <f t="shared" si="0"/>
        <v>100.50717304687498</v>
      </c>
      <c r="L11" s="3">
        <f t="shared" si="6"/>
        <v>1825.2131810243127</v>
      </c>
      <c r="M11" s="48">
        <f t="shared" si="7"/>
        <v>1095.1279086145876</v>
      </c>
      <c r="O11" s="58">
        <f t="shared" si="1"/>
        <v>1984.6451773499593</v>
      </c>
      <c r="P11" s="59">
        <f t="shared" si="8"/>
        <v>1206.0860765625002</v>
      </c>
      <c r="R11" s="2">
        <f t="shared" si="20"/>
        <v>8967.7495338354565</v>
      </c>
      <c r="S11" s="3">
        <f t="shared" si="21"/>
        <v>8600.730402983887</v>
      </c>
      <c r="T11" s="3">
        <f t="shared" si="22"/>
        <v>683.65187342378204</v>
      </c>
      <c r="U11" s="3">
        <f t="shared" si="23"/>
        <v>35.821568895870001</v>
      </c>
      <c r="V11" s="48">
        <f t="shared" si="2"/>
        <v>912.60659051215634</v>
      </c>
      <c r="X11" s="58">
        <f t="shared" si="9"/>
        <v>19200.559969651153</v>
      </c>
      <c r="Y11" s="59">
        <f t="shared" si="10"/>
        <v>17568.479936819342</v>
      </c>
      <c r="Z11" s="58">
        <f t="shared" si="11"/>
        <v>17215.914792301191</v>
      </c>
      <c r="AA11" s="59">
        <f t="shared" si="12"/>
        <v>16362.393860256841</v>
      </c>
      <c r="AB11" s="60">
        <f t="shared" si="13"/>
        <v>1721.5914792301191</v>
      </c>
      <c r="AC11" s="59">
        <f t="shared" si="14"/>
        <v>1636.2393860256843</v>
      </c>
      <c r="AE11" s="61">
        <f t="shared" si="15"/>
        <v>15494.323313071072</v>
      </c>
      <c r="AF11" s="62">
        <f t="shared" si="16"/>
        <v>14726.154474231156</v>
      </c>
    </row>
    <row r="12" spans="1:33" x14ac:dyDescent="0.3">
      <c r="A12" s="6">
        <v>8</v>
      </c>
      <c r="B12" s="3">
        <v>0</v>
      </c>
      <c r="C12" s="3">
        <f t="shared" si="17"/>
        <v>360</v>
      </c>
      <c r="D12" s="3">
        <v>665.90694774106771</v>
      </c>
      <c r="E12" s="3">
        <f t="shared" si="3"/>
        <v>56.284016906250024</v>
      </c>
      <c r="F12" s="3">
        <f t="shared" si="24"/>
        <v>70.862440000000021</v>
      </c>
      <c r="G12" s="3">
        <f t="shared" si="4"/>
        <v>127.14645690625005</v>
      </c>
      <c r="H12" s="3">
        <f t="shared" si="18"/>
        <v>562.84016906250019</v>
      </c>
      <c r="I12" s="3">
        <f t="shared" si="19"/>
        <v>703.55021132812522</v>
      </c>
      <c r="J12" s="3">
        <f t="shared" si="5"/>
        <v>809.08274302734389</v>
      </c>
      <c r="K12" s="3">
        <f t="shared" si="0"/>
        <v>105.53253169921868</v>
      </c>
      <c r="L12" s="3">
        <f t="shared" si="6"/>
        <v>1990.9513744263797</v>
      </c>
      <c r="M12" s="48">
        <f t="shared" si="7"/>
        <v>1194.5708246558277</v>
      </c>
      <c r="O12" s="58">
        <f t="shared" si="1"/>
        <v>1962.1361476746615</v>
      </c>
      <c r="P12" s="59">
        <f t="shared" si="8"/>
        <v>1266.3903803906255</v>
      </c>
      <c r="R12" s="2">
        <f t="shared" si="20"/>
        <v>9557.3790656851361</v>
      </c>
      <c r="S12" s="3">
        <f t="shared" si="21"/>
        <v>9602.71549493151</v>
      </c>
      <c r="T12" s="3">
        <f t="shared" si="22"/>
        <v>749.41918364714991</v>
      </c>
      <c r="U12" s="3">
        <f t="shared" si="23"/>
        <v>36.896215962746105</v>
      </c>
      <c r="V12" s="48">
        <f t="shared" si="2"/>
        <v>995.47568721318987</v>
      </c>
      <c r="X12" s="58">
        <f t="shared" si="9"/>
        <v>20941.885647439733</v>
      </c>
      <c r="Y12" s="59">
        <f t="shared" si="10"/>
        <v>19160.094560616646</v>
      </c>
      <c r="Z12" s="58">
        <f t="shared" si="11"/>
        <v>18979.749499765072</v>
      </c>
      <c r="AA12" s="59">
        <f t="shared" si="12"/>
        <v>17893.704180226021</v>
      </c>
      <c r="AB12" s="60">
        <f t="shared" si="13"/>
        <v>1897.9749499765073</v>
      </c>
      <c r="AC12" s="59">
        <f t="shared" si="14"/>
        <v>1789.3704180226023</v>
      </c>
      <c r="AE12" s="61">
        <f t="shared" si="15"/>
        <v>17081.774549788566</v>
      </c>
      <c r="AF12" s="62">
        <f t="shared" si="16"/>
        <v>16104.33376220342</v>
      </c>
    </row>
    <row r="13" spans="1:33" x14ac:dyDescent="0.3">
      <c r="A13" s="6">
        <v>9</v>
      </c>
      <c r="B13" s="3">
        <v>0</v>
      </c>
      <c r="C13" s="3">
        <f t="shared" si="17"/>
        <v>280</v>
      </c>
      <c r="D13" s="3">
        <v>675.89555195718367</v>
      </c>
      <c r="E13" s="3">
        <f t="shared" si="3"/>
        <v>59.09821775156253</v>
      </c>
      <c r="F13" s="3">
        <f t="shared" si="24"/>
        <v>77.948684000000029</v>
      </c>
      <c r="G13" s="3">
        <f t="shared" si="4"/>
        <v>137.04690175156256</v>
      </c>
      <c r="H13" s="3">
        <f t="shared" si="18"/>
        <v>590.98217751562527</v>
      </c>
      <c r="I13" s="3">
        <f t="shared" si="19"/>
        <v>738.72772189453156</v>
      </c>
      <c r="J13" s="3">
        <f t="shared" si="5"/>
        <v>849.53688017871127</v>
      </c>
      <c r="K13" s="3">
        <f t="shared" si="0"/>
        <v>110.80915828417972</v>
      </c>
      <c r="L13" s="3">
        <f t="shared" si="6"/>
        <v>2172.8721898458966</v>
      </c>
      <c r="M13" s="48">
        <f t="shared" si="7"/>
        <v>1303.7233139075379</v>
      </c>
      <c r="O13" s="58">
        <f t="shared" si="1"/>
        <v>1942.4793338874574</v>
      </c>
      <c r="P13" s="59">
        <f t="shared" si="8"/>
        <v>1329.7098994101568</v>
      </c>
      <c r="R13" s="2">
        <f t="shared" si="20"/>
        <v>10185.776739253932</v>
      </c>
      <c r="S13" s="3">
        <f t="shared" si="21"/>
        <v>10721.431850091032</v>
      </c>
      <c r="T13" s="3">
        <f t="shared" si="22"/>
        <v>821.51330911400566</v>
      </c>
      <c r="U13" s="3">
        <f t="shared" si="23"/>
        <v>38.003102441628492</v>
      </c>
      <c r="V13" s="48">
        <f t="shared" si="2"/>
        <v>1086.4360949229483</v>
      </c>
      <c r="X13" s="58">
        <f t="shared" si="9"/>
        <v>22853.161095823543</v>
      </c>
      <c r="Y13" s="59">
        <f t="shared" si="10"/>
        <v>20907.208589344962</v>
      </c>
      <c r="Z13" s="58">
        <f t="shared" si="11"/>
        <v>20910.681761936085</v>
      </c>
      <c r="AA13" s="59">
        <f t="shared" si="12"/>
        <v>19577.498689934804</v>
      </c>
      <c r="AB13" s="60">
        <f t="shared" si="13"/>
        <v>2091.0681761936085</v>
      </c>
      <c r="AC13" s="59">
        <f t="shared" si="14"/>
        <v>1957.7498689934805</v>
      </c>
      <c r="AE13" s="61">
        <f t="shared" si="15"/>
        <v>18819.613585742474</v>
      </c>
      <c r="AF13" s="62">
        <f t="shared" si="16"/>
        <v>17619.748820941324</v>
      </c>
    </row>
    <row r="14" spans="1:33" ht="15" thickBot="1" x14ac:dyDescent="0.35">
      <c r="A14" s="7">
        <v>10</v>
      </c>
      <c r="B14" s="5">
        <v>0</v>
      </c>
      <c r="C14" s="3">
        <f>C13-80</f>
        <v>200</v>
      </c>
      <c r="D14" s="5">
        <v>686.03398523654141</v>
      </c>
      <c r="E14" s="5">
        <f t="shared" si="3"/>
        <v>62.053128639140652</v>
      </c>
      <c r="F14" s="5">
        <f t="shared" si="24"/>
        <v>85.743552400000041</v>
      </c>
      <c r="G14" s="5">
        <f t="shared" si="4"/>
        <v>147.79668103914071</v>
      </c>
      <c r="H14" s="5">
        <f t="shared" si="18"/>
        <v>620.53128639140652</v>
      </c>
      <c r="I14" s="5">
        <f t="shared" si="19"/>
        <v>775.66410798925813</v>
      </c>
      <c r="J14" s="5">
        <f t="shared" si="5"/>
        <v>892.01372418764674</v>
      </c>
      <c r="K14" s="5">
        <f t="shared" si="0"/>
        <v>116.34961619838862</v>
      </c>
      <c r="L14" s="5">
        <f t="shared" si="6"/>
        <v>2372.6513109937287</v>
      </c>
      <c r="M14" s="63">
        <f t="shared" si="7"/>
        <v>1423.590786596237</v>
      </c>
      <c r="O14" s="64">
        <f t="shared" si="1"/>
        <v>1925.8443904633291</v>
      </c>
      <c r="P14" s="65">
        <f t="shared" si="8"/>
        <v>1396.1953943806648</v>
      </c>
      <c r="R14" s="4">
        <f t="shared" si="20"/>
        <v>10855.491559859876</v>
      </c>
      <c r="S14" s="5">
        <f t="shared" si="21"/>
        <v>11970.478660626637</v>
      </c>
      <c r="T14" s="5">
        <f t="shared" si="22"/>
        <v>900.54288945077292</v>
      </c>
      <c r="U14" s="5">
        <f t="shared" si="23"/>
        <v>39.143195514877348</v>
      </c>
      <c r="V14" s="63">
        <f t="shared" si="2"/>
        <v>1186.3256554968643</v>
      </c>
      <c r="X14" s="64">
        <f t="shared" si="9"/>
        <v>24951.981960949026</v>
      </c>
      <c r="Y14" s="65">
        <f>SUM(R14:S14)</f>
        <v>22825.970220486513</v>
      </c>
      <c r="Z14" s="64">
        <f t="shared" si="11"/>
        <v>23026.137570485698</v>
      </c>
      <c r="AA14" s="65">
        <f t="shared" si="12"/>
        <v>21429.774826105848</v>
      </c>
      <c r="AB14" s="66">
        <f t="shared" si="13"/>
        <v>2302.6137570485698</v>
      </c>
      <c r="AC14" s="65">
        <f t="shared" si="14"/>
        <v>2142.977482610585</v>
      </c>
      <c r="AE14" s="67">
        <f t="shared" si="15"/>
        <v>20723.523813437128</v>
      </c>
      <c r="AF14" s="68">
        <f t="shared" si="16"/>
        <v>19286.797343495262</v>
      </c>
    </row>
    <row r="15" spans="1:33" ht="15" thickBot="1" x14ac:dyDescent="0.35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1"/>
      <c r="L15" s="1"/>
      <c r="M15" s="1"/>
      <c r="N15" s="1"/>
      <c r="O15" s="1"/>
      <c r="P15" s="1"/>
      <c r="Q15" s="1"/>
      <c r="R15" s="69"/>
      <c r="S15" s="69"/>
      <c r="T15" s="69"/>
      <c r="U15" s="1"/>
      <c r="V15" s="69"/>
      <c r="W15" s="69"/>
      <c r="X15" s="69"/>
      <c r="Y15" s="69"/>
      <c r="Z15" s="69"/>
      <c r="AA15" s="69"/>
      <c r="AE15" s="69"/>
    </row>
    <row r="16" spans="1:33" ht="15" thickBot="1" x14ac:dyDescent="0.35">
      <c r="S16" s="99" t="s">
        <v>35</v>
      </c>
      <c r="T16" s="100"/>
      <c r="U16" s="101"/>
      <c r="V16" s="70"/>
      <c r="W16" s="70"/>
      <c r="X16" s="102" t="s">
        <v>35</v>
      </c>
      <c r="Y16" s="103"/>
      <c r="Z16" s="101"/>
      <c r="AA16" s="70"/>
    </row>
    <row r="17" spans="2:27" ht="15" thickBot="1" x14ac:dyDescent="0.35">
      <c r="B17" s="26" t="s">
        <v>31</v>
      </c>
      <c r="C17" s="27" t="s">
        <v>25</v>
      </c>
      <c r="D17" s="28">
        <v>1.4999999999999999E-2</v>
      </c>
      <c r="E17" s="29" t="s">
        <v>43</v>
      </c>
      <c r="S17" s="24" t="s">
        <v>44</v>
      </c>
      <c r="T17" s="24" t="s">
        <v>45</v>
      </c>
      <c r="U17" s="24" t="s">
        <v>14</v>
      </c>
      <c r="V17" s="71"/>
      <c r="W17" s="71"/>
      <c r="X17" s="135" t="s">
        <v>46</v>
      </c>
      <c r="Y17" s="136"/>
      <c r="Z17" s="72" t="s">
        <v>47</v>
      </c>
      <c r="AA17" s="73"/>
    </row>
    <row r="18" spans="2:27" x14ac:dyDescent="0.3">
      <c r="B18" s="30" t="s">
        <v>30</v>
      </c>
      <c r="C18" s="31" t="s">
        <v>7</v>
      </c>
      <c r="D18" s="31" t="s">
        <v>5</v>
      </c>
      <c r="E18" s="32" t="s">
        <v>6</v>
      </c>
      <c r="S18" s="50">
        <v>30</v>
      </c>
      <c r="T18" s="50">
        <v>5</v>
      </c>
      <c r="U18" s="50">
        <f>SUM(S18:T18)</f>
        <v>35</v>
      </c>
      <c r="V18" s="74"/>
      <c r="W18" s="74"/>
      <c r="X18" s="124">
        <v>600</v>
      </c>
      <c r="Y18" s="125"/>
      <c r="Z18" s="51">
        <v>400</v>
      </c>
      <c r="AA18" s="74"/>
    </row>
    <row r="19" spans="2:27" x14ac:dyDescent="0.3">
      <c r="B19" s="33" t="s">
        <v>8</v>
      </c>
      <c r="C19" s="20">
        <v>45</v>
      </c>
      <c r="D19" s="20">
        <v>136</v>
      </c>
      <c r="E19" s="34">
        <v>0.05</v>
      </c>
      <c r="S19" s="50">
        <f>C20*(1+$E$20)</f>
        <v>33</v>
      </c>
      <c r="T19" s="50">
        <f>C22*(1+$E$22)</f>
        <v>5.4</v>
      </c>
      <c r="U19" s="50">
        <f t="shared" ref="U19:U27" si="25">SUM(S19:T19)</f>
        <v>38.4</v>
      </c>
      <c r="V19" s="74"/>
      <c r="W19" s="74"/>
      <c r="X19" s="124">
        <f>X18*(1+$D$17)</f>
        <v>608.99999999999989</v>
      </c>
      <c r="Y19" s="125"/>
      <c r="Z19" s="51">
        <f>Z18*(1+5%)</f>
        <v>420</v>
      </c>
      <c r="AA19" s="74"/>
    </row>
    <row r="20" spans="2:27" x14ac:dyDescent="0.3">
      <c r="B20" s="33" t="s">
        <v>4</v>
      </c>
      <c r="C20" s="20">
        <v>30</v>
      </c>
      <c r="D20" s="20">
        <v>148</v>
      </c>
      <c r="E20" s="34">
        <v>0.1</v>
      </c>
      <c r="S20" s="50">
        <f>S19*(1+$E$20)</f>
        <v>36.300000000000004</v>
      </c>
      <c r="T20" s="50">
        <f>T19*(1+$E$22)</f>
        <v>5.8320000000000007</v>
      </c>
      <c r="U20" s="50">
        <f t="shared" si="25"/>
        <v>42.132000000000005</v>
      </c>
      <c r="V20" s="74"/>
      <c r="W20" s="74"/>
      <c r="X20" s="124">
        <f>X19*(1+$D$17)</f>
        <v>618.13499999999988</v>
      </c>
      <c r="Y20" s="125"/>
      <c r="Z20" s="51">
        <f t="shared" ref="Z20:Z27" si="26">Z19*(1+5%)</f>
        <v>441</v>
      </c>
      <c r="AA20" s="73"/>
    </row>
    <row r="21" spans="2:27" x14ac:dyDescent="0.3">
      <c r="B21" s="35" t="s">
        <v>29</v>
      </c>
      <c r="C21" s="20"/>
      <c r="D21" s="20"/>
      <c r="E21" s="36"/>
      <c r="S21" s="50">
        <f t="shared" ref="S21:S27" si="27">S20*(1+$E$20)</f>
        <v>39.930000000000007</v>
      </c>
      <c r="T21" s="50">
        <f t="shared" ref="T21:T27" si="28">T20*(1+$E$22)</f>
        <v>6.298560000000001</v>
      </c>
      <c r="U21" s="50">
        <f t="shared" si="25"/>
        <v>46.228560000000009</v>
      </c>
      <c r="V21" s="74"/>
      <c r="W21" s="74"/>
      <c r="X21" s="124">
        <f t="shared" ref="X21:X27" si="29">X20*(1+$D$17)</f>
        <v>627.40702499999986</v>
      </c>
      <c r="Y21" s="125"/>
      <c r="Z21" s="51">
        <f t="shared" si="26"/>
        <v>463.05</v>
      </c>
      <c r="AA21" s="73"/>
    </row>
    <row r="22" spans="2:27" ht="15" thickBot="1" x14ac:dyDescent="0.35">
      <c r="B22" s="37" t="s">
        <v>4</v>
      </c>
      <c r="C22" s="38">
        <v>5</v>
      </c>
      <c r="D22" s="38">
        <v>78.8</v>
      </c>
      <c r="E22" s="39">
        <v>0.08</v>
      </c>
      <c r="S22" s="50">
        <f t="shared" si="27"/>
        <v>43.923000000000009</v>
      </c>
      <c r="T22" s="50">
        <f t="shared" si="28"/>
        <v>6.8024448000000017</v>
      </c>
      <c r="U22" s="50">
        <f t="shared" si="25"/>
        <v>50.725444800000012</v>
      </c>
      <c r="V22" s="74"/>
      <c r="W22" s="74"/>
      <c r="X22" s="124">
        <f t="shared" si="29"/>
        <v>636.81813037499978</v>
      </c>
      <c r="Y22" s="125"/>
      <c r="Z22" s="51">
        <f t="shared" si="26"/>
        <v>486.20250000000004</v>
      </c>
      <c r="AA22" s="73"/>
    </row>
    <row r="23" spans="2:27" x14ac:dyDescent="0.3">
      <c r="S23" s="50">
        <f t="shared" si="27"/>
        <v>48.315300000000015</v>
      </c>
      <c r="T23" s="50">
        <f t="shared" si="28"/>
        <v>7.3466403840000023</v>
      </c>
      <c r="U23" s="50">
        <f t="shared" si="25"/>
        <v>55.661940384000019</v>
      </c>
      <c r="V23" s="74"/>
      <c r="W23" s="74"/>
      <c r="X23" s="124">
        <f t="shared" si="29"/>
        <v>646.37040233062476</v>
      </c>
      <c r="Y23" s="125"/>
      <c r="Z23" s="51">
        <f t="shared" si="26"/>
        <v>510.51262500000007</v>
      </c>
      <c r="AA23" s="73"/>
    </row>
    <row r="24" spans="2:27" x14ac:dyDescent="0.3">
      <c r="S24" s="50">
        <f>S23*(1+$E$20)</f>
        <v>53.146830000000023</v>
      </c>
      <c r="T24" s="50">
        <f t="shared" si="28"/>
        <v>7.9343716147200034</v>
      </c>
      <c r="U24" s="50">
        <f t="shared" si="25"/>
        <v>61.08120161472003</v>
      </c>
      <c r="V24" s="74"/>
      <c r="W24" s="74"/>
      <c r="X24" s="124">
        <f t="shared" si="29"/>
        <v>656.06595836558404</v>
      </c>
      <c r="Y24" s="125"/>
      <c r="Z24" s="51">
        <f t="shared" si="26"/>
        <v>536.03825625000013</v>
      </c>
      <c r="AA24" s="73"/>
    </row>
    <row r="25" spans="2:27" x14ac:dyDescent="0.3">
      <c r="S25" s="50">
        <f t="shared" si="27"/>
        <v>58.461513000000032</v>
      </c>
      <c r="T25" s="50">
        <f t="shared" si="28"/>
        <v>8.5691213438976046</v>
      </c>
      <c r="U25" s="50">
        <f t="shared" si="25"/>
        <v>67.030634343897631</v>
      </c>
      <c r="V25" s="74"/>
      <c r="W25" s="74"/>
      <c r="X25" s="124">
        <f t="shared" si="29"/>
        <v>665.90694774106771</v>
      </c>
      <c r="Y25" s="125"/>
      <c r="Z25" s="51">
        <f t="shared" si="26"/>
        <v>562.84016906250019</v>
      </c>
      <c r="AA25" s="73"/>
    </row>
    <row r="26" spans="2:27" x14ac:dyDescent="0.3">
      <c r="S26" s="50">
        <f t="shared" si="27"/>
        <v>64.307664300000042</v>
      </c>
      <c r="T26" s="50">
        <f t="shared" si="28"/>
        <v>9.2546510514094145</v>
      </c>
      <c r="U26" s="50">
        <f t="shared" si="25"/>
        <v>73.562315351409453</v>
      </c>
      <c r="V26" s="74"/>
      <c r="W26" s="74"/>
      <c r="X26" s="124">
        <f t="shared" si="29"/>
        <v>675.89555195718367</v>
      </c>
      <c r="Y26" s="125"/>
      <c r="Z26" s="51">
        <f t="shared" si="26"/>
        <v>590.98217751562527</v>
      </c>
      <c r="AA26" s="73"/>
    </row>
    <row r="27" spans="2:27" ht="15" thickBot="1" x14ac:dyDescent="0.35">
      <c r="S27" s="52">
        <f t="shared" si="27"/>
        <v>70.738430730000047</v>
      </c>
      <c r="T27" s="52">
        <f t="shared" si="28"/>
        <v>9.9950231355221675</v>
      </c>
      <c r="U27" s="52">
        <f t="shared" si="25"/>
        <v>80.733453865522222</v>
      </c>
      <c r="V27" s="74"/>
      <c r="W27" s="74"/>
      <c r="X27" s="126">
        <f t="shared" si="29"/>
        <v>686.03398523654141</v>
      </c>
      <c r="Y27" s="127"/>
      <c r="Z27" s="53">
        <f t="shared" si="26"/>
        <v>620.53128639140652</v>
      </c>
      <c r="AA27" s="73"/>
    </row>
  </sheetData>
  <mergeCells count="27">
    <mergeCell ref="X17:Y17"/>
    <mergeCell ref="X18:Y18"/>
    <mergeCell ref="X19:Y19"/>
    <mergeCell ref="X20:Y20"/>
    <mergeCell ref="X21:Y21"/>
    <mergeCell ref="X22:Y22"/>
    <mergeCell ref="X23:Y23"/>
    <mergeCell ref="X24:Y24"/>
    <mergeCell ref="X25:Y25"/>
    <mergeCell ref="X26:Y26"/>
    <mergeCell ref="X27:Y27"/>
    <mergeCell ref="E3:G3"/>
    <mergeCell ref="I3:K3"/>
    <mergeCell ref="L3:M3"/>
    <mergeCell ref="A1:AC1"/>
    <mergeCell ref="A2:M2"/>
    <mergeCell ref="X2:Y3"/>
    <mergeCell ref="Z2:AA3"/>
    <mergeCell ref="AB2:AC3"/>
    <mergeCell ref="B3:D3"/>
    <mergeCell ref="O3:P3"/>
    <mergeCell ref="R2:V2"/>
    <mergeCell ref="AE2:AF3"/>
    <mergeCell ref="AE1:AF1"/>
    <mergeCell ref="S16:U16"/>
    <mergeCell ref="X16:Z16"/>
    <mergeCell ref="R3:S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4BD7D-18E0-422F-A25B-ADE6AFE69897}">
  <dimension ref="B1:Q16"/>
  <sheetViews>
    <sheetView workbookViewId="0">
      <selection activeCell="J16" sqref="J16"/>
    </sheetView>
  </sheetViews>
  <sheetFormatPr defaultRowHeight="14.4" x14ac:dyDescent="0.3"/>
  <cols>
    <col min="1" max="1" width="8.88671875" style="40"/>
    <col min="2" max="2" width="7.6640625" style="40" customWidth="1"/>
    <col min="3" max="3" width="10.5546875" style="40" bestFit="1" customWidth="1"/>
    <col min="4" max="5" width="15.5546875" style="40" customWidth="1"/>
    <col min="6" max="6" width="15.109375" style="40" customWidth="1"/>
    <col min="7" max="7" width="8.88671875" style="40"/>
    <col min="8" max="8" width="21.109375" style="40" customWidth="1"/>
    <col min="9" max="9" width="9.88671875" style="40" bestFit="1" customWidth="1"/>
    <col min="10" max="10" width="13.109375" style="40" customWidth="1"/>
    <col min="11" max="11" width="8.88671875" style="40"/>
    <col min="12" max="12" width="16.6640625" style="40" bestFit="1" customWidth="1"/>
    <col min="13" max="13" width="19" style="40" customWidth="1"/>
    <col min="14" max="14" width="12" style="40" bestFit="1" customWidth="1"/>
    <col min="15" max="15" width="8.88671875" style="40"/>
    <col min="16" max="16" width="18.77734375" style="40" bestFit="1" customWidth="1"/>
    <col min="17" max="17" width="17.5546875" style="40" customWidth="1"/>
    <col min="18" max="16384" width="8.88671875" style="40"/>
  </cols>
  <sheetData>
    <row r="1" spans="2:17" x14ac:dyDescent="0.3">
      <c r="C1" s="132" t="s">
        <v>55</v>
      </c>
      <c r="D1" s="133"/>
      <c r="G1" s="128" t="s">
        <v>58</v>
      </c>
      <c r="H1" s="128"/>
    </row>
    <row r="2" spans="2:17" ht="15" thickBot="1" x14ac:dyDescent="0.35">
      <c r="C2" s="75" t="s">
        <v>53</v>
      </c>
      <c r="D2" s="76">
        <v>0.11</v>
      </c>
      <c r="G2" s="77" t="s">
        <v>57</v>
      </c>
      <c r="H2" s="78">
        <v>13.004806013303552</v>
      </c>
    </row>
    <row r="3" spans="2:17" ht="15" thickBot="1" x14ac:dyDescent="0.35">
      <c r="C3" s="73"/>
      <c r="D3" s="79"/>
    </row>
    <row r="4" spans="2:17" x14ac:dyDescent="0.3">
      <c r="B4" s="129" t="s">
        <v>56</v>
      </c>
      <c r="C4" s="130"/>
      <c r="D4" s="130"/>
      <c r="E4" s="131"/>
      <c r="G4" s="129" t="s">
        <v>54</v>
      </c>
      <c r="H4" s="130"/>
      <c r="I4" s="130"/>
      <c r="J4" s="131"/>
    </row>
    <row r="5" spans="2:17" x14ac:dyDescent="0.3">
      <c r="B5" s="21" t="s">
        <v>51</v>
      </c>
      <c r="C5" s="15" t="s">
        <v>52</v>
      </c>
      <c r="D5" s="15" t="s">
        <v>50</v>
      </c>
      <c r="E5" s="16" t="s">
        <v>59</v>
      </c>
      <c r="G5" s="21" t="s">
        <v>51</v>
      </c>
      <c r="H5" s="15" t="s">
        <v>52</v>
      </c>
      <c r="I5" s="15" t="s">
        <v>50</v>
      </c>
      <c r="J5" s="16" t="s">
        <v>50</v>
      </c>
    </row>
    <row r="6" spans="2:17" x14ac:dyDescent="0.3">
      <c r="B6" s="41">
        <v>1</v>
      </c>
      <c r="C6" s="49">
        <v>8790.0300000000007</v>
      </c>
      <c r="D6" s="49">
        <f t="shared" ref="D6:D15" si="0">C6*((1+$D$2)^(-B6))</f>
        <v>7918.9459459459458</v>
      </c>
      <c r="E6" s="47">
        <f>D6*(1+$H$2)^(-B6)</f>
        <v>565.44488644994578</v>
      </c>
      <c r="G6" s="41">
        <v>1</v>
      </c>
      <c r="H6" s="49">
        <v>8694</v>
      </c>
      <c r="I6" s="49">
        <f>H6*(1+$D$2)^(-G6)</f>
        <v>7832.4324324324316</v>
      </c>
      <c r="J6" s="47">
        <f>I6*(1+$H$2)^(-G6)</f>
        <v>559.26747039496206</v>
      </c>
    </row>
    <row r="7" spans="2:17" x14ac:dyDescent="0.3">
      <c r="B7" s="41">
        <v>2</v>
      </c>
      <c r="C7" s="49">
        <v>9839.0523959999973</v>
      </c>
      <c r="D7" s="49">
        <f t="shared" si="0"/>
        <v>7985.5956464572646</v>
      </c>
      <c r="E7" s="47">
        <f t="shared" ref="E7:E16" si="1">D7*(1+$H$2)^(-B7)</f>
        <v>40.7148763846075</v>
      </c>
      <c r="G7" s="41">
        <v>2</v>
      </c>
      <c r="H7" s="49">
        <v>9481.1849999999977</v>
      </c>
      <c r="I7" s="49">
        <f t="shared" ref="I7:I15" si="2">H7*(1+$D$2)^(-G7)</f>
        <v>7695.1424397370311</v>
      </c>
      <c r="J7" s="47">
        <f t="shared" ref="J7:J15" si="3">I7*(1+$H$2)^(-G7)</f>
        <v>39.233989180861649</v>
      </c>
    </row>
    <row r="8" spans="2:17" x14ac:dyDescent="0.3">
      <c r="B8" s="41">
        <v>3</v>
      </c>
      <c r="C8" s="49">
        <v>10877.509503857698</v>
      </c>
      <c r="D8" s="49">
        <f t="shared" si="0"/>
        <v>7953.541199239924</v>
      </c>
      <c r="E8" s="47">
        <f t="shared" si="1"/>
        <v>2.8955378228428201</v>
      </c>
      <c r="G8" s="41">
        <v>3</v>
      </c>
      <c r="H8" s="49">
        <v>10344.391139249999</v>
      </c>
      <c r="I8" s="49">
        <f t="shared" si="2"/>
        <v>7563.7296458255169</v>
      </c>
      <c r="J8" s="47">
        <f t="shared" si="3"/>
        <v>2.7536244199424371</v>
      </c>
    </row>
    <row r="9" spans="2:17" x14ac:dyDescent="0.3">
      <c r="B9" s="41">
        <v>4</v>
      </c>
      <c r="C9" s="49">
        <v>12008.182474457053</v>
      </c>
      <c r="D9" s="49">
        <f t="shared" si="0"/>
        <v>7910.1617391100126</v>
      </c>
      <c r="E9" s="47">
        <f t="shared" si="1"/>
        <v>0.20562550089401252</v>
      </c>
      <c r="G9" s="41">
        <v>4</v>
      </c>
      <c r="H9" s="49">
        <v>11291.401112988937</v>
      </c>
      <c r="I9" s="49">
        <f t="shared" si="2"/>
        <v>7437.9956546211415</v>
      </c>
      <c r="J9" s="47">
        <f t="shared" si="3"/>
        <v>0.19335149300007121</v>
      </c>
    </row>
    <row r="10" spans="2:17" x14ac:dyDescent="0.3">
      <c r="B10" s="41">
        <v>5</v>
      </c>
      <c r="C10" s="49">
        <v>13240.485895869513</v>
      </c>
      <c r="D10" s="49">
        <f t="shared" si="0"/>
        <v>7857.5839390443771</v>
      </c>
      <c r="E10" s="47">
        <f t="shared" si="1"/>
        <v>1.4584902865544563E-2</v>
      </c>
      <c r="G10" s="41">
        <v>5</v>
      </c>
      <c r="H10" s="49">
        <v>12330.831579304655</v>
      </c>
      <c r="I10" s="49">
        <f t="shared" si="2"/>
        <v>7317.7483768047614</v>
      </c>
      <c r="J10" s="47">
        <f t="shared" si="3"/>
        <v>1.3582883758945114E-2</v>
      </c>
    </row>
    <row r="11" spans="2:17" x14ac:dyDescent="0.3">
      <c r="B11" s="41">
        <v>6</v>
      </c>
      <c r="C11" s="49">
        <v>14003.106865028307</v>
      </c>
      <c r="D11" s="49">
        <f t="shared" si="0"/>
        <v>7486.632762159431</v>
      </c>
      <c r="E11" s="47">
        <f t="shared" si="1"/>
        <v>9.9225648243090182E-4</v>
      </c>
      <c r="G11" s="41">
        <v>6</v>
      </c>
      <c r="H11" s="49">
        <v>13472.225428343716</v>
      </c>
      <c r="I11" s="49">
        <f t="shared" si="2"/>
        <v>7202.8018669863623</v>
      </c>
      <c r="J11" s="47">
        <f t="shared" si="3"/>
        <v>9.5463836296427946E-4</v>
      </c>
    </row>
    <row r="12" spans="2:17" x14ac:dyDescent="0.3">
      <c r="B12" s="41">
        <v>7</v>
      </c>
      <c r="C12" s="49">
        <v>15462.323363071073</v>
      </c>
      <c r="D12" s="49">
        <f t="shared" si="0"/>
        <v>7447.5580997365523</v>
      </c>
      <c r="E12" s="47">
        <f t="shared" si="1"/>
        <v>7.0481350447845593E-5</v>
      </c>
      <c r="G12" s="41">
        <v>7</v>
      </c>
      <c r="H12" s="49">
        <v>14726.154474231156</v>
      </c>
      <c r="I12" s="49">
        <f t="shared" si="2"/>
        <v>7092.9761625906704</v>
      </c>
      <c r="J12" s="47">
        <f t="shared" si="3"/>
        <v>6.7125698375075752E-5</v>
      </c>
    </row>
    <row r="13" spans="2:17" x14ac:dyDescent="0.3">
      <c r="B13" s="41">
        <v>8</v>
      </c>
      <c r="C13" s="49">
        <v>17057.774609788565</v>
      </c>
      <c r="D13" s="49">
        <f t="shared" si="0"/>
        <v>7401.8203710668904</v>
      </c>
      <c r="E13" s="47">
        <f t="shared" si="1"/>
        <v>5.001747463277553E-6</v>
      </c>
      <c r="G13" s="41">
        <v>8</v>
      </c>
      <c r="H13" s="49">
        <v>16104.33376220342</v>
      </c>
      <c r="I13" s="49">
        <f t="shared" si="2"/>
        <v>6988.0971246468534</v>
      </c>
      <c r="J13" s="47">
        <f t="shared" si="3"/>
        <v>4.7221758046124423E-6</v>
      </c>
    </row>
    <row r="14" spans="2:17" x14ac:dyDescent="0.3">
      <c r="B14" s="41">
        <v>9</v>
      </c>
      <c r="C14" s="49">
        <v>18803.613655742476</v>
      </c>
      <c r="D14" s="49">
        <f t="shared" si="0"/>
        <v>7350.7983706107652</v>
      </c>
      <c r="E14" s="47">
        <f t="shared" si="1"/>
        <v>3.5468321137970687E-7</v>
      </c>
      <c r="G14" s="41">
        <v>9</v>
      </c>
      <c r="H14" s="49">
        <v>17619.748820941324</v>
      </c>
      <c r="I14" s="49">
        <f t="shared" si="2"/>
        <v>6887.9962806506765</v>
      </c>
      <c r="J14" s="47">
        <f t="shared" si="3"/>
        <v>3.3235255786095917E-7</v>
      </c>
    </row>
    <row r="15" spans="2:17" x14ac:dyDescent="0.3">
      <c r="B15" s="41">
        <v>10</v>
      </c>
      <c r="C15" s="49">
        <v>20715.523893437126</v>
      </c>
      <c r="D15" s="49">
        <f t="shared" si="0"/>
        <v>7295.6859849501698</v>
      </c>
      <c r="E15" s="47">
        <f t="shared" si="1"/>
        <v>2.5135941513962994E-8</v>
      </c>
      <c r="G15" s="41">
        <v>10</v>
      </c>
      <c r="H15" s="49">
        <v>19286.797343495262</v>
      </c>
      <c r="I15" s="49">
        <f t="shared" si="2"/>
        <v>6792.5106696476514</v>
      </c>
      <c r="J15" s="47">
        <f t="shared" si="3"/>
        <v>2.3402343697005913E-8</v>
      </c>
    </row>
    <row r="16" spans="2:17" ht="15" thickBot="1" x14ac:dyDescent="0.35">
      <c r="B16" s="43"/>
      <c r="C16" s="82" t="s">
        <v>50</v>
      </c>
      <c r="D16" s="83">
        <f>SUM(D6:D15)</f>
        <v>76608.324058321334</v>
      </c>
      <c r="E16" s="47"/>
      <c r="G16" s="43"/>
      <c r="H16" s="82" t="s">
        <v>50</v>
      </c>
      <c r="I16" s="83">
        <f>SUM(I6:I15)</f>
        <v>72811.430653943098</v>
      </c>
      <c r="J16" s="84"/>
      <c r="M16" s="1"/>
      <c r="Q16" s="80"/>
    </row>
  </sheetData>
  <mergeCells count="4">
    <mergeCell ref="G1:H1"/>
    <mergeCell ref="B4:E4"/>
    <mergeCell ref="G4:J4"/>
    <mergeCell ref="C1:D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D6194-A897-4ACC-8166-E3ACE07C42AE}">
  <dimension ref="A1:T31"/>
  <sheetViews>
    <sheetView tabSelected="1" topLeftCell="A9" workbookViewId="0">
      <selection activeCell="D1" sqref="D1"/>
    </sheetView>
  </sheetViews>
  <sheetFormatPr defaultRowHeight="14.4" x14ac:dyDescent="0.3"/>
  <cols>
    <col min="1" max="1" width="4.6640625" style="40" bestFit="1" customWidth="1"/>
    <col min="2" max="2" width="12.5546875" style="40" bestFit="1" customWidth="1"/>
    <col min="3" max="3" width="16" style="40" bestFit="1" customWidth="1"/>
    <col min="4" max="4" width="22.21875" style="40" bestFit="1" customWidth="1"/>
    <col min="5" max="5" width="22.44140625" style="40" customWidth="1"/>
    <col min="6" max="6" width="28.109375" style="40" bestFit="1" customWidth="1"/>
    <col min="7" max="7" width="22.109375" style="40" bestFit="1" customWidth="1"/>
    <col min="8" max="8" width="12" style="40" bestFit="1" customWidth="1"/>
    <col min="9" max="9" width="15.33203125" style="40" bestFit="1" customWidth="1"/>
    <col min="10" max="10" width="8.88671875" style="40"/>
    <col min="11" max="11" width="13.33203125" style="40" bestFit="1" customWidth="1"/>
    <col min="12" max="12" width="8.88671875" style="40"/>
    <col min="13" max="13" width="28.5546875" style="40" bestFit="1" customWidth="1"/>
    <col min="14" max="14" width="12" style="40" bestFit="1" customWidth="1"/>
    <col min="15" max="15" width="17.44140625" style="40" bestFit="1" customWidth="1"/>
    <col min="16" max="16" width="8.88671875" style="40"/>
    <col min="17" max="17" width="13.33203125" style="40" bestFit="1" customWidth="1"/>
    <col min="18" max="18" width="25.5546875" style="40" customWidth="1"/>
    <col min="19" max="19" width="13.33203125" style="40" bestFit="1" customWidth="1"/>
    <col min="20" max="20" width="24.44140625" style="40" bestFit="1" customWidth="1"/>
    <col min="21" max="21" width="16.109375" style="40" bestFit="1" customWidth="1"/>
    <col min="22" max="16384" width="8.88671875" style="40"/>
  </cols>
  <sheetData>
    <row r="1" spans="1:20" ht="15" thickBot="1" x14ac:dyDescent="0.35"/>
    <row r="2" spans="1:20" s="92" customFormat="1" x14ac:dyDescent="0.3">
      <c r="A2" s="88" t="s">
        <v>51</v>
      </c>
      <c r="B2" s="134" t="s">
        <v>33</v>
      </c>
      <c r="C2" s="134"/>
      <c r="D2" s="134"/>
      <c r="E2" s="89" t="s">
        <v>11</v>
      </c>
      <c r="F2" s="89" t="s">
        <v>38</v>
      </c>
      <c r="G2" s="89" t="s">
        <v>60</v>
      </c>
      <c r="H2" s="134" t="s">
        <v>23</v>
      </c>
      <c r="I2" s="134"/>
      <c r="J2" s="89"/>
      <c r="K2" s="90" t="s">
        <v>36</v>
      </c>
      <c r="L2" s="90"/>
      <c r="M2" s="90" t="s">
        <v>27</v>
      </c>
      <c r="N2" s="90" t="s">
        <v>21</v>
      </c>
      <c r="O2" s="90" t="s">
        <v>23</v>
      </c>
      <c r="P2" s="90"/>
      <c r="Q2" s="90"/>
      <c r="R2" s="90"/>
      <c r="S2" s="90"/>
      <c r="T2" s="91"/>
    </row>
    <row r="3" spans="1:20" s="57" customFormat="1" x14ac:dyDescent="0.3">
      <c r="A3" s="21"/>
      <c r="B3" s="15" t="s">
        <v>0</v>
      </c>
      <c r="C3" s="15" t="s">
        <v>1</v>
      </c>
      <c r="D3" s="15" t="s">
        <v>9</v>
      </c>
      <c r="E3" s="15" t="s">
        <v>14</v>
      </c>
      <c r="F3" s="15" t="s">
        <v>37</v>
      </c>
      <c r="G3" s="15" t="s">
        <v>17</v>
      </c>
      <c r="H3" s="15" t="s">
        <v>19</v>
      </c>
      <c r="I3" s="15" t="s">
        <v>20</v>
      </c>
      <c r="J3" s="15"/>
      <c r="K3" s="15" t="s">
        <v>29</v>
      </c>
      <c r="L3" s="15"/>
      <c r="M3" s="15" t="s">
        <v>4</v>
      </c>
      <c r="N3" s="15" t="s">
        <v>22</v>
      </c>
      <c r="O3" s="15" t="s">
        <v>24</v>
      </c>
      <c r="P3" s="15"/>
      <c r="Q3" s="15" t="s">
        <v>32</v>
      </c>
      <c r="R3" s="15" t="s">
        <v>48</v>
      </c>
      <c r="S3" s="15" t="s">
        <v>50</v>
      </c>
      <c r="T3" s="16" t="s">
        <v>61</v>
      </c>
    </row>
    <row r="4" spans="1:20" x14ac:dyDescent="0.3">
      <c r="A4" s="41">
        <v>1</v>
      </c>
      <c r="B4" s="45">
        <v>150</v>
      </c>
      <c r="C4" s="45">
        <v>920</v>
      </c>
      <c r="D4" s="45" t="s">
        <v>10</v>
      </c>
      <c r="E4" s="45">
        <v>40</v>
      </c>
      <c r="F4" s="45">
        <v>400</v>
      </c>
      <c r="G4" s="45">
        <v>575</v>
      </c>
      <c r="H4" s="45">
        <v>1095.4000000000001</v>
      </c>
      <c r="I4" s="45">
        <v>657.24</v>
      </c>
      <c r="J4" s="45"/>
      <c r="K4" s="81"/>
      <c r="L4" s="81"/>
      <c r="M4" s="81"/>
      <c r="N4" s="81"/>
      <c r="O4" s="81"/>
      <c r="P4" s="81"/>
      <c r="Q4" s="81"/>
      <c r="R4" s="81"/>
      <c r="S4" s="81"/>
      <c r="T4" s="81"/>
    </row>
    <row r="5" spans="1:20" x14ac:dyDescent="0.3">
      <c r="A5" s="41">
        <v>2</v>
      </c>
      <c r="B5" s="45">
        <v>0</v>
      </c>
      <c r="C5" s="45">
        <v>840</v>
      </c>
      <c r="D5" s="45" t="s">
        <v>10</v>
      </c>
      <c r="E5" s="45">
        <v>42</v>
      </c>
      <c r="F5" s="45">
        <v>420</v>
      </c>
      <c r="G5" s="45">
        <v>603.75</v>
      </c>
      <c r="H5" s="45">
        <v>1191.1552799999997</v>
      </c>
      <c r="I5" s="45">
        <v>714.69316799999979</v>
      </c>
      <c r="J5" s="45"/>
      <c r="K5" s="45">
        <v>1685</v>
      </c>
      <c r="L5" s="45"/>
      <c r="M5" s="45">
        <v>394</v>
      </c>
      <c r="N5" s="45">
        <v>30</v>
      </c>
      <c r="O5" s="45">
        <v>547.70000000000005</v>
      </c>
      <c r="P5" s="45"/>
      <c r="Q5" s="45">
        <v>11531.7</v>
      </c>
      <c r="R5" s="45">
        <v>8862.0300000000007</v>
      </c>
      <c r="S5" s="45">
        <f>R5*((1+$S$29)^(-A4))</f>
        <v>7706.1130434782626</v>
      </c>
      <c r="T5" s="42">
        <v>7706.1130434782626</v>
      </c>
    </row>
    <row r="6" spans="1:20" x14ac:dyDescent="0.3">
      <c r="A6" s="41">
        <v>3</v>
      </c>
      <c r="B6" s="45">
        <v>0</v>
      </c>
      <c r="C6" s="45">
        <v>760</v>
      </c>
      <c r="D6" s="45" t="s">
        <v>10</v>
      </c>
      <c r="E6" s="45">
        <v>44.1</v>
      </c>
      <c r="F6" s="45">
        <v>441</v>
      </c>
      <c r="G6" s="45">
        <v>633.9375</v>
      </c>
      <c r="H6" s="45">
        <v>1295.946978186</v>
      </c>
      <c r="I6" s="45">
        <v>777.56818691159992</v>
      </c>
      <c r="J6" s="45"/>
      <c r="K6" s="45">
        <v>1525.75</v>
      </c>
      <c r="L6" s="45"/>
      <c r="M6" s="45">
        <v>431.90280000000001</v>
      </c>
      <c r="N6" s="45">
        <v>30.900000000000002</v>
      </c>
      <c r="O6" s="45">
        <v>595.57763999999986</v>
      </c>
      <c r="P6" s="45"/>
      <c r="Q6" s="45">
        <v>12538.030439999997</v>
      </c>
      <c r="R6" s="45">
        <v>9911.0523959999973</v>
      </c>
      <c r="S6" s="45">
        <f t="shared" ref="S6:T27" si="0">R6*((1+$S$29)^(-A5))</f>
        <v>7494.1795054820404</v>
      </c>
      <c r="T6" s="42">
        <f t="shared" si="0"/>
        <v>7494.1795054820404</v>
      </c>
    </row>
    <row r="7" spans="1:20" x14ac:dyDescent="0.3">
      <c r="A7" s="41">
        <v>4</v>
      </c>
      <c r="B7" s="45">
        <v>0</v>
      </c>
      <c r="C7" s="45">
        <v>680</v>
      </c>
      <c r="D7" s="45" t="s">
        <v>10</v>
      </c>
      <c r="E7" s="45">
        <v>46.305000000000007</v>
      </c>
      <c r="F7" s="45">
        <v>463.05</v>
      </c>
      <c r="G7" s="45">
        <v>665.63437499999998</v>
      </c>
      <c r="H7" s="45">
        <v>1410.6861653922806</v>
      </c>
      <c r="I7" s="45">
        <v>846.41169923536836</v>
      </c>
      <c r="J7" s="45"/>
      <c r="K7" s="45">
        <v>1482.0374999999999</v>
      </c>
      <c r="L7" s="45"/>
      <c r="M7" s="45">
        <v>473.45184935999998</v>
      </c>
      <c r="N7" s="45">
        <v>31.827000000000002</v>
      </c>
      <c r="O7" s="45">
        <v>647.97348909300001</v>
      </c>
      <c r="P7" s="45"/>
      <c r="Q7" s="45">
        <v>13639.270270952999</v>
      </c>
      <c r="R7" s="45">
        <v>10941.509493857699</v>
      </c>
      <c r="S7" s="45">
        <f t="shared" si="0"/>
        <v>7194.2200995201456</v>
      </c>
      <c r="T7" s="42">
        <f t="shared" si="0"/>
        <v>7194.2200995201456</v>
      </c>
    </row>
    <row r="8" spans="1:20" x14ac:dyDescent="0.3">
      <c r="A8" s="41">
        <v>5</v>
      </c>
      <c r="B8" s="45">
        <v>0</v>
      </c>
      <c r="C8" s="45">
        <v>600</v>
      </c>
      <c r="D8" s="45" t="s">
        <v>10</v>
      </c>
      <c r="E8" s="45">
        <v>48.620250000000006</v>
      </c>
      <c r="F8" s="45">
        <v>486.20250000000004</v>
      </c>
      <c r="G8" s="45">
        <v>698.91609375000007</v>
      </c>
      <c r="H8" s="45">
        <v>1536.3805118914829</v>
      </c>
      <c r="I8" s="45">
        <v>921.82830713488966</v>
      </c>
      <c r="J8" s="45"/>
      <c r="K8" s="45">
        <v>1440.339375</v>
      </c>
      <c r="L8" s="45"/>
      <c r="M8" s="45">
        <v>518.99791726843193</v>
      </c>
      <c r="N8" s="45">
        <v>32.78181</v>
      </c>
      <c r="O8" s="45">
        <v>705.3430826961403</v>
      </c>
      <c r="P8" s="45"/>
      <c r="Q8" s="45">
        <v>14844.986546618948</v>
      </c>
      <c r="R8" s="45">
        <v>12064.182454457054</v>
      </c>
      <c r="S8" s="45">
        <f t="shared" si="0"/>
        <v>6897.7354737623482</v>
      </c>
      <c r="T8" s="42">
        <f t="shared" si="0"/>
        <v>6897.7354737623482</v>
      </c>
    </row>
    <row r="9" spans="1:20" x14ac:dyDescent="0.3">
      <c r="A9" s="41">
        <v>6</v>
      </c>
      <c r="B9" s="45">
        <v>0</v>
      </c>
      <c r="C9" s="45">
        <v>520</v>
      </c>
      <c r="D9" s="45">
        <v>646.37040233062476</v>
      </c>
      <c r="E9" s="45">
        <v>51.051262500000007</v>
      </c>
      <c r="F9" s="45">
        <v>510.51262500000007</v>
      </c>
      <c r="G9" s="45">
        <v>733.86189843750014</v>
      </c>
      <c r="H9" s="45">
        <v>1674.1448922712716</v>
      </c>
      <c r="I9" s="45">
        <v>1004.4869353627629</v>
      </c>
      <c r="J9" s="45"/>
      <c r="K9" s="45">
        <v>1400.77634375</v>
      </c>
      <c r="L9" s="45"/>
      <c r="M9" s="45">
        <v>568.92551690965502</v>
      </c>
      <c r="N9" s="45">
        <v>33.765264299999998</v>
      </c>
      <c r="O9" s="45">
        <v>768.19025594574146</v>
      </c>
      <c r="P9" s="45"/>
      <c r="Q9" s="45">
        <v>16165.76063916057</v>
      </c>
      <c r="R9" s="45">
        <v>13288.485865869512</v>
      </c>
      <c r="S9" s="45">
        <f t="shared" si="0"/>
        <v>6606.7260198504728</v>
      </c>
      <c r="T9" s="42">
        <f t="shared" si="0"/>
        <v>6606.7260198504728</v>
      </c>
    </row>
    <row r="10" spans="1:20" x14ac:dyDescent="0.3">
      <c r="A10" s="41">
        <v>7</v>
      </c>
      <c r="B10" s="45">
        <v>0</v>
      </c>
      <c r="C10" s="45">
        <v>440</v>
      </c>
      <c r="D10" s="45">
        <v>656.06595836558404</v>
      </c>
      <c r="E10" s="45">
        <v>53.603825625000013</v>
      </c>
      <c r="F10" s="45">
        <v>536.03825625000013</v>
      </c>
      <c r="G10" s="45">
        <v>770.5549933593752</v>
      </c>
      <c r="H10" s="45">
        <v>1825.2131810243127</v>
      </c>
      <c r="I10" s="45">
        <v>1095.1279086145876</v>
      </c>
      <c r="J10" s="45"/>
      <c r="K10" s="45">
        <v>2009.8475632681248</v>
      </c>
      <c r="L10" s="45"/>
      <c r="M10" s="45">
        <v>623.6561516363638</v>
      </c>
      <c r="N10" s="45">
        <v>34.778222229000001</v>
      </c>
      <c r="O10" s="45">
        <v>837.0724461356358</v>
      </c>
      <c r="P10" s="45"/>
      <c r="Q10" s="45">
        <v>17613.299591077353</v>
      </c>
      <c r="R10" s="45">
        <v>14043.106825028304</v>
      </c>
      <c r="S10" s="45">
        <f t="shared" si="0"/>
        <v>6071.2226127936574</v>
      </c>
      <c r="T10" s="42">
        <f t="shared" si="0"/>
        <v>6071.2226127936574</v>
      </c>
    </row>
    <row r="11" spans="1:20" x14ac:dyDescent="0.3">
      <c r="A11" s="41">
        <v>8</v>
      </c>
      <c r="B11" s="45">
        <v>0</v>
      </c>
      <c r="C11" s="45">
        <v>360</v>
      </c>
      <c r="D11" s="45">
        <v>665.90694774106771</v>
      </c>
      <c r="E11" s="45">
        <v>56.284016906250024</v>
      </c>
      <c r="F11" s="45">
        <v>562.84016906250019</v>
      </c>
      <c r="G11" s="45">
        <v>809.08274302734389</v>
      </c>
      <c r="H11" s="45">
        <v>1990.9513744263797</v>
      </c>
      <c r="I11" s="45">
        <v>1194.5708246558277</v>
      </c>
      <c r="J11" s="45"/>
      <c r="K11" s="45">
        <v>1984.6451773499593</v>
      </c>
      <c r="L11" s="45"/>
      <c r="M11" s="45">
        <v>683.65187342378204</v>
      </c>
      <c r="N11" s="45">
        <v>35.821568895870001</v>
      </c>
      <c r="O11" s="45">
        <v>912.60659051215634</v>
      </c>
      <c r="P11" s="45"/>
      <c r="Q11" s="45">
        <v>19200.559969651153</v>
      </c>
      <c r="R11" s="45">
        <v>15494.323313071072</v>
      </c>
      <c r="S11" s="45">
        <f t="shared" si="0"/>
        <v>5824.8900419273059</v>
      </c>
      <c r="T11" s="42">
        <f t="shared" si="0"/>
        <v>5824.8900419273059</v>
      </c>
    </row>
    <row r="12" spans="1:20" x14ac:dyDescent="0.3">
      <c r="A12" s="41">
        <v>9</v>
      </c>
      <c r="B12" s="45">
        <v>0</v>
      </c>
      <c r="C12" s="45">
        <v>280</v>
      </c>
      <c r="D12" s="45">
        <v>675.89555195718367</v>
      </c>
      <c r="E12" s="45">
        <v>59.09821775156253</v>
      </c>
      <c r="F12" s="45">
        <v>590.98217751562527</v>
      </c>
      <c r="G12" s="45">
        <v>849.53688017871127</v>
      </c>
      <c r="H12" s="45">
        <v>2172.8721898458966</v>
      </c>
      <c r="I12" s="45">
        <v>1303.7233139075379</v>
      </c>
      <c r="J12" s="45"/>
      <c r="K12" s="45">
        <v>1962.1361476746615</v>
      </c>
      <c r="L12" s="45"/>
      <c r="M12" s="45">
        <v>749.41918364714991</v>
      </c>
      <c r="N12" s="45">
        <v>36.896215962746105</v>
      </c>
      <c r="O12" s="45">
        <v>995.47568721318987</v>
      </c>
      <c r="P12" s="45"/>
      <c r="Q12" s="45">
        <v>20941.885647439733</v>
      </c>
      <c r="R12" s="45">
        <v>17081.774549788566</v>
      </c>
      <c r="S12" s="45">
        <f t="shared" si="0"/>
        <v>5584.0624007662018</v>
      </c>
      <c r="T12" s="42">
        <f t="shared" si="0"/>
        <v>5584.0624007662018</v>
      </c>
    </row>
    <row r="13" spans="1:20" x14ac:dyDescent="0.3">
      <c r="A13" s="41">
        <v>10</v>
      </c>
      <c r="B13" s="45">
        <v>0</v>
      </c>
      <c r="C13" s="45">
        <v>200</v>
      </c>
      <c r="D13" s="45">
        <v>686.03398523654141</v>
      </c>
      <c r="E13" s="45">
        <v>62.053128639140652</v>
      </c>
      <c r="F13" s="45">
        <v>620.53128639140652</v>
      </c>
      <c r="G13" s="45">
        <v>892.01372418764674</v>
      </c>
      <c r="H13" s="45">
        <v>2372.6513109937287</v>
      </c>
      <c r="I13" s="45">
        <v>1423.590786596237</v>
      </c>
      <c r="J13" s="45"/>
      <c r="K13" s="45">
        <v>1942.4793338874574</v>
      </c>
      <c r="L13" s="45"/>
      <c r="M13" s="45">
        <v>821.51330911400566</v>
      </c>
      <c r="N13" s="45">
        <v>38.003102441628492</v>
      </c>
      <c r="O13" s="45">
        <v>1086.4360949229483</v>
      </c>
      <c r="P13" s="45"/>
      <c r="Q13" s="45">
        <v>22853.161095823543</v>
      </c>
      <c r="R13" s="45">
        <v>18819.613585742474</v>
      </c>
      <c r="S13" s="45">
        <f t="shared" si="0"/>
        <v>5349.7087515466519</v>
      </c>
      <c r="T13" s="42">
        <f t="shared" si="0"/>
        <v>5349.7087515466519</v>
      </c>
    </row>
    <row r="14" spans="1:20" x14ac:dyDescent="0.3">
      <c r="A14" s="41">
        <v>11</v>
      </c>
      <c r="B14" s="45">
        <v>0</v>
      </c>
      <c r="C14" s="45">
        <f>C13-80</f>
        <v>120</v>
      </c>
      <c r="D14" s="45">
        <f>D13*(1+1.5%)</f>
        <v>696.3244950150895</v>
      </c>
      <c r="E14" s="45">
        <f>E13*1.07</f>
        <v>66.396847643880506</v>
      </c>
      <c r="F14" s="45">
        <f>F13*(1+2%)</f>
        <v>632.94191211923464</v>
      </c>
      <c r="G14" s="45">
        <f>G13*(1+15%)</f>
        <v>1025.8157828157937</v>
      </c>
      <c r="H14" s="45">
        <f>5%*(Q14)</f>
        <v>1247.5990980474514</v>
      </c>
      <c r="I14" s="45">
        <f>6%*(Q14)</f>
        <v>1497.1189176569414</v>
      </c>
      <c r="J14" s="45"/>
      <c r="K14" s="45">
        <v>1925.8443904633291</v>
      </c>
      <c r="L14" s="45"/>
      <c r="M14" s="45">
        <v>900.54288945077292</v>
      </c>
      <c r="N14" s="45">
        <v>39.143195514877348</v>
      </c>
      <c r="O14" s="45">
        <v>1186.3256554968643</v>
      </c>
      <c r="P14" s="45"/>
      <c r="Q14" s="45">
        <v>24951.981960949026</v>
      </c>
      <c r="R14" s="45">
        <v>20723.523813437128</v>
      </c>
      <c r="S14" s="45">
        <f t="shared" si="0"/>
        <v>5122.5381436339458</v>
      </c>
      <c r="T14" s="42">
        <f t="shared" si="0"/>
        <v>5122.5381436339458</v>
      </c>
    </row>
    <row r="15" spans="1:20" x14ac:dyDescent="0.3">
      <c r="A15" s="41">
        <v>12</v>
      </c>
      <c r="B15" s="45">
        <v>0</v>
      </c>
      <c r="C15" s="45">
        <f t="shared" ref="C15:C27" si="1">C14-80</f>
        <v>40</v>
      </c>
      <c r="D15" s="45">
        <f t="shared" ref="D15:D27" si="2">D14*(1+1.5%)</f>
        <v>706.76936244031572</v>
      </c>
      <c r="E15" s="45">
        <f t="shared" ref="E15:E27" si="3">E14*1.07</f>
        <v>71.044626978952138</v>
      </c>
      <c r="F15" s="45">
        <f t="shared" ref="F15:F27" si="4">F14*(1+2%)</f>
        <v>645.60075036161936</v>
      </c>
      <c r="G15" s="45">
        <f t="shared" ref="G15:G27" si="5">G14*(1+15%)</f>
        <v>1179.6881502381627</v>
      </c>
      <c r="H15" s="45">
        <f t="shared" ref="H15:H27" si="6">5%*(Q15)</f>
        <v>52.288681372605588</v>
      </c>
      <c r="I15" s="45">
        <f t="shared" ref="I15:I27" si="7">6%*(Q15)</f>
        <v>62.746417647126698</v>
      </c>
      <c r="J15" s="45"/>
      <c r="K15" s="45">
        <f>SUM(B15:I15)</f>
        <v>2758.1379890387821</v>
      </c>
      <c r="L15" s="45"/>
      <c r="M15" s="45">
        <f>M14*(1+10%)*(1+1.5%)</f>
        <v>1005.4561360717879</v>
      </c>
      <c r="N15" s="45">
        <f>N14*(1+3%)</f>
        <v>40.317491380323666</v>
      </c>
      <c r="O15" s="45">
        <f>5%*(M15+N15)</f>
        <v>52.288681372605588</v>
      </c>
      <c r="P15" s="45"/>
      <c r="Q15" s="45">
        <f>M15+N15</f>
        <v>1045.7736274521117</v>
      </c>
      <c r="R15" s="45">
        <f>R14*1.101</f>
        <v>22816.59971859428</v>
      </c>
      <c r="S15" s="45">
        <f t="shared" si="0"/>
        <v>4904.2734749051951</v>
      </c>
      <c r="T15" s="42">
        <f t="shared" si="0"/>
        <v>4904.2734749051951</v>
      </c>
    </row>
    <row r="16" spans="1:20" x14ac:dyDescent="0.3">
      <c r="A16" s="41">
        <v>13</v>
      </c>
      <c r="B16" s="45">
        <v>0</v>
      </c>
      <c r="C16" s="45">
        <f t="shared" si="1"/>
        <v>-40</v>
      </c>
      <c r="D16" s="45">
        <f t="shared" si="2"/>
        <v>717.37090287692035</v>
      </c>
      <c r="E16" s="45">
        <f t="shared" si="3"/>
        <v>76.017750867478796</v>
      </c>
      <c r="F16" s="45">
        <f t="shared" si="4"/>
        <v>658.51276536885177</v>
      </c>
      <c r="G16" s="45">
        <f t="shared" si="5"/>
        <v>1356.641372773887</v>
      </c>
      <c r="H16" s="45">
        <f t="shared" si="6"/>
        <v>58.205939602294222</v>
      </c>
      <c r="I16" s="45">
        <f t="shared" si="7"/>
        <v>69.84712752275307</v>
      </c>
      <c r="J16" s="45"/>
      <c r="K16" s="45">
        <f t="shared" ref="K16:K27" si="8">SUM(B16:I16)</f>
        <v>2896.5958590121854</v>
      </c>
      <c r="L16" s="45"/>
      <c r="M16" s="45">
        <f t="shared" ref="M16:M27" si="9">M15*(1+10%)*(1+1.5%)</f>
        <v>1122.5917759241511</v>
      </c>
      <c r="N16" s="45">
        <f t="shared" ref="N16:N27" si="10">N15*(1+3%)</f>
        <v>41.527016121733375</v>
      </c>
      <c r="O16" s="45">
        <f t="shared" ref="O16:O27" si="11">5%*(M16+N16)</f>
        <v>58.205939602294222</v>
      </c>
      <c r="P16" s="45"/>
      <c r="Q16" s="45">
        <f t="shared" ref="Q16:Q27" si="12">M16+N16</f>
        <v>1164.1187920458844</v>
      </c>
      <c r="R16" s="45">
        <f t="shared" ref="R16:R27" si="13">R15*1.101</f>
        <v>25121.076290172303</v>
      </c>
      <c r="S16" s="45">
        <f t="shared" si="0"/>
        <v>4695.3087790179316</v>
      </c>
      <c r="T16" s="42">
        <f t="shared" si="0"/>
        <v>4695.3087790179316</v>
      </c>
    </row>
    <row r="17" spans="1:20" x14ac:dyDescent="0.3">
      <c r="A17" s="41">
        <v>14</v>
      </c>
      <c r="B17" s="45">
        <v>0</v>
      </c>
      <c r="C17" s="45">
        <f t="shared" si="1"/>
        <v>-120</v>
      </c>
      <c r="D17" s="45">
        <f t="shared" si="2"/>
        <v>728.13146642007405</v>
      </c>
      <c r="E17" s="45">
        <f t="shared" si="3"/>
        <v>81.338993428202315</v>
      </c>
      <c r="F17" s="45">
        <f t="shared" si="4"/>
        <v>671.68302067622881</v>
      </c>
      <c r="G17" s="45">
        <f t="shared" si="5"/>
        <v>1560.13757868997</v>
      </c>
      <c r="H17" s="45">
        <f t="shared" si="6"/>
        <v>64.807327221235013</v>
      </c>
      <c r="I17" s="45">
        <f t="shared" si="7"/>
        <v>77.768792665481996</v>
      </c>
      <c r="J17" s="45"/>
      <c r="K17" s="45">
        <f t="shared" si="8"/>
        <v>3063.8671791011925</v>
      </c>
      <c r="L17" s="45"/>
      <c r="M17" s="45">
        <f t="shared" si="9"/>
        <v>1253.3737178193146</v>
      </c>
      <c r="N17" s="45">
        <f t="shared" si="10"/>
        <v>42.772826605385376</v>
      </c>
      <c r="O17" s="45">
        <f t="shared" si="11"/>
        <v>64.807327221235013</v>
      </c>
      <c r="P17" s="45"/>
      <c r="Q17" s="45">
        <f t="shared" si="12"/>
        <v>1296.1465444247001</v>
      </c>
      <c r="R17" s="45">
        <f t="shared" si="13"/>
        <v>27658.304995479706</v>
      </c>
      <c r="S17" s="45">
        <f t="shared" si="0"/>
        <v>4495.2477962597759</v>
      </c>
      <c r="T17" s="42">
        <f t="shared" si="0"/>
        <v>4495.2477962597759</v>
      </c>
    </row>
    <row r="18" spans="1:20" x14ac:dyDescent="0.3">
      <c r="A18" s="41">
        <v>15</v>
      </c>
      <c r="B18" s="45">
        <v>0</v>
      </c>
      <c r="C18" s="45">
        <f t="shared" si="1"/>
        <v>-200</v>
      </c>
      <c r="D18" s="45">
        <f t="shared" si="2"/>
        <v>739.05343841637512</v>
      </c>
      <c r="E18" s="45">
        <f t="shared" si="3"/>
        <v>87.032722968176486</v>
      </c>
      <c r="F18" s="45">
        <f t="shared" si="4"/>
        <v>685.11668108975334</v>
      </c>
      <c r="G18" s="45">
        <f t="shared" si="5"/>
        <v>1794.1582154934654</v>
      </c>
      <c r="H18" s="45">
        <f t="shared" si="6"/>
        <v>72.17238836744059</v>
      </c>
      <c r="I18" s="45">
        <f t="shared" si="7"/>
        <v>86.606866040928708</v>
      </c>
      <c r="J18" s="45"/>
      <c r="K18" s="45">
        <f t="shared" si="8"/>
        <v>3264.1403123761397</v>
      </c>
      <c r="L18" s="45"/>
      <c r="M18" s="45">
        <f t="shared" si="9"/>
        <v>1399.3917559452648</v>
      </c>
      <c r="N18" s="45">
        <f t="shared" si="10"/>
        <v>44.05601140354694</v>
      </c>
      <c r="O18" s="45">
        <f t="shared" si="11"/>
        <v>72.17238836744059</v>
      </c>
      <c r="P18" s="45"/>
      <c r="Q18" s="45">
        <f t="shared" si="12"/>
        <v>1443.4477673488118</v>
      </c>
      <c r="R18" s="45">
        <f t="shared" si="13"/>
        <v>30451.793800023155</v>
      </c>
      <c r="S18" s="45">
        <f t="shared" si="0"/>
        <v>4303.7111510278382</v>
      </c>
      <c r="T18" s="42">
        <f t="shared" si="0"/>
        <v>4303.7111510278382</v>
      </c>
    </row>
    <row r="19" spans="1:20" x14ac:dyDescent="0.3">
      <c r="A19" s="41">
        <v>16</v>
      </c>
      <c r="B19" s="45">
        <v>0</v>
      </c>
      <c r="C19" s="45">
        <f t="shared" si="1"/>
        <v>-280</v>
      </c>
      <c r="D19" s="45">
        <f t="shared" si="2"/>
        <v>750.13923999262067</v>
      </c>
      <c r="E19" s="45">
        <f t="shared" si="3"/>
        <v>93.125013575948842</v>
      </c>
      <c r="F19" s="45">
        <f t="shared" si="4"/>
        <v>698.81901471154845</v>
      </c>
      <c r="G19" s="45">
        <f t="shared" si="5"/>
        <v>2063.2819478174852</v>
      </c>
      <c r="H19" s="45">
        <f t="shared" si="6"/>
        <v>80.389929362927077</v>
      </c>
      <c r="I19" s="45">
        <f t="shared" si="7"/>
        <v>96.467915235512478</v>
      </c>
      <c r="J19" s="45"/>
      <c r="K19" s="45">
        <f t="shared" si="8"/>
        <v>3502.2230606960425</v>
      </c>
      <c r="L19" s="45"/>
      <c r="M19" s="45">
        <f t="shared" si="9"/>
        <v>1562.4208955128881</v>
      </c>
      <c r="N19" s="45">
        <f t="shared" si="10"/>
        <v>45.377691745653351</v>
      </c>
      <c r="O19" s="45">
        <f t="shared" si="11"/>
        <v>80.389929362927077</v>
      </c>
      <c r="P19" s="45"/>
      <c r="Q19" s="45">
        <f t="shared" si="12"/>
        <v>1607.7985872585414</v>
      </c>
      <c r="R19" s="45">
        <f t="shared" si="13"/>
        <v>33527.424973825495</v>
      </c>
      <c r="S19" s="45">
        <f t="shared" si="0"/>
        <v>4120.3356324188262</v>
      </c>
      <c r="T19" s="42">
        <f t="shared" si="0"/>
        <v>4120.3356324188262</v>
      </c>
    </row>
    <row r="20" spans="1:20" x14ac:dyDescent="0.3">
      <c r="A20" s="41">
        <v>17</v>
      </c>
      <c r="B20" s="45">
        <v>0</v>
      </c>
      <c r="C20" s="45">
        <f t="shared" si="1"/>
        <v>-360</v>
      </c>
      <c r="D20" s="45">
        <f t="shared" si="2"/>
        <v>761.39132859250992</v>
      </c>
      <c r="E20" s="45">
        <f t="shared" si="3"/>
        <v>99.643764526265272</v>
      </c>
      <c r="F20" s="45">
        <f t="shared" si="4"/>
        <v>712.79539500577948</v>
      </c>
      <c r="G20" s="45">
        <f t="shared" si="5"/>
        <v>2372.7742399901076</v>
      </c>
      <c r="H20" s="45">
        <f t="shared" si="6"/>
        <v>89.559097616908133</v>
      </c>
      <c r="I20" s="45">
        <f t="shared" si="7"/>
        <v>107.47091714028974</v>
      </c>
      <c r="J20" s="45"/>
      <c r="K20" s="45">
        <f t="shared" si="8"/>
        <v>3783.63474287186</v>
      </c>
      <c r="L20" s="45"/>
      <c r="M20" s="45">
        <f t="shared" si="9"/>
        <v>1744.4429298401396</v>
      </c>
      <c r="N20" s="45">
        <f t="shared" si="10"/>
        <v>46.739022498022955</v>
      </c>
      <c r="O20" s="45">
        <f t="shared" si="11"/>
        <v>89.559097616908133</v>
      </c>
      <c r="P20" s="45"/>
      <c r="Q20" s="45">
        <f t="shared" si="12"/>
        <v>1791.1819523381625</v>
      </c>
      <c r="R20" s="45">
        <f t="shared" si="13"/>
        <v>36913.694896181871</v>
      </c>
      <c r="S20" s="45">
        <f t="shared" si="0"/>
        <v>3944.7735054722862</v>
      </c>
      <c r="T20" s="42">
        <f t="shared" si="0"/>
        <v>3944.7735054722862</v>
      </c>
    </row>
    <row r="21" spans="1:20" x14ac:dyDescent="0.3">
      <c r="A21" s="41">
        <v>18</v>
      </c>
      <c r="B21" s="45">
        <v>0</v>
      </c>
      <c r="C21" s="45">
        <f t="shared" si="1"/>
        <v>-440</v>
      </c>
      <c r="D21" s="45">
        <f t="shared" si="2"/>
        <v>772.81219852139748</v>
      </c>
      <c r="E21" s="45">
        <f t="shared" si="3"/>
        <v>106.61882804310385</v>
      </c>
      <c r="F21" s="45">
        <f t="shared" si="4"/>
        <v>727.05130290589511</v>
      </c>
      <c r="G21" s="45">
        <f t="shared" si="5"/>
        <v>2728.6903759886236</v>
      </c>
      <c r="H21" s="45">
        <f t="shared" si="6"/>
        <v>99.790586216973963</v>
      </c>
      <c r="I21" s="45">
        <f t="shared" si="7"/>
        <v>119.74870346036874</v>
      </c>
      <c r="J21" s="45"/>
      <c r="K21" s="45">
        <f t="shared" si="8"/>
        <v>4114.7119951363629</v>
      </c>
      <c r="L21" s="45"/>
      <c r="M21" s="45">
        <f t="shared" si="9"/>
        <v>1947.6705311665157</v>
      </c>
      <c r="N21" s="45">
        <f t="shared" si="10"/>
        <v>48.141193172963646</v>
      </c>
      <c r="O21" s="45">
        <f t="shared" si="11"/>
        <v>99.790586216973963</v>
      </c>
      <c r="P21" s="45"/>
      <c r="Q21" s="45">
        <f t="shared" si="12"/>
        <v>1995.8117243394793</v>
      </c>
      <c r="R21" s="45">
        <f t="shared" si="13"/>
        <v>40641.978080696237</v>
      </c>
      <c r="S21" s="45">
        <f t="shared" si="0"/>
        <v>3776.6918517608588</v>
      </c>
      <c r="T21" s="42">
        <f t="shared" si="0"/>
        <v>3776.6918517608588</v>
      </c>
    </row>
    <row r="22" spans="1:20" x14ac:dyDescent="0.3">
      <c r="A22" s="41">
        <v>19</v>
      </c>
      <c r="B22" s="45">
        <v>0</v>
      </c>
      <c r="C22" s="45">
        <f t="shared" si="1"/>
        <v>-520</v>
      </c>
      <c r="D22" s="45">
        <f t="shared" si="2"/>
        <v>784.4043814992184</v>
      </c>
      <c r="E22" s="45">
        <f t="shared" si="3"/>
        <v>114.08214600612112</v>
      </c>
      <c r="F22" s="45">
        <f t="shared" si="4"/>
        <v>741.59232896401306</v>
      </c>
      <c r="G22" s="45">
        <f t="shared" si="5"/>
        <v>3137.9939323869171</v>
      </c>
      <c r="H22" s="45">
        <f t="shared" si="6"/>
        <v>111.20797885077837</v>
      </c>
      <c r="I22" s="45">
        <f t="shared" si="7"/>
        <v>133.44957462093404</v>
      </c>
      <c r="J22" s="45"/>
      <c r="K22" s="45">
        <f t="shared" si="8"/>
        <v>4502.7303423279818</v>
      </c>
      <c r="L22" s="45"/>
      <c r="M22" s="45">
        <f t="shared" si="9"/>
        <v>2174.5741480474148</v>
      </c>
      <c r="N22" s="45">
        <f t="shared" si="10"/>
        <v>49.585428968152556</v>
      </c>
      <c r="O22" s="45">
        <f t="shared" si="11"/>
        <v>111.20797885077837</v>
      </c>
      <c r="P22" s="45"/>
      <c r="Q22" s="45">
        <f t="shared" si="12"/>
        <v>2224.1595770155673</v>
      </c>
      <c r="R22" s="45">
        <f t="shared" si="13"/>
        <v>44746.817866846555</v>
      </c>
      <c r="S22" s="45">
        <f t="shared" si="0"/>
        <v>3615.7719380771355</v>
      </c>
      <c r="T22" s="42">
        <f t="shared" si="0"/>
        <v>3615.7719380771355</v>
      </c>
    </row>
    <row r="23" spans="1:20" x14ac:dyDescent="0.3">
      <c r="A23" s="41">
        <v>20</v>
      </c>
      <c r="B23" s="45">
        <v>0</v>
      </c>
      <c r="C23" s="45">
        <f t="shared" si="1"/>
        <v>-600</v>
      </c>
      <c r="D23" s="45">
        <f t="shared" si="2"/>
        <v>796.17044722170658</v>
      </c>
      <c r="E23" s="45">
        <f t="shared" si="3"/>
        <v>122.06789622654961</v>
      </c>
      <c r="F23" s="45">
        <f t="shared" si="4"/>
        <v>756.42417554329336</v>
      </c>
      <c r="G23" s="45">
        <f t="shared" si="5"/>
        <v>3608.6930222449546</v>
      </c>
      <c r="H23" s="45">
        <f t="shared" si="6"/>
        <v>123.94925140660681</v>
      </c>
      <c r="I23" s="45">
        <f t="shared" si="7"/>
        <v>148.73910168792816</v>
      </c>
      <c r="J23" s="45"/>
      <c r="K23" s="45">
        <f t="shared" si="8"/>
        <v>4956.0438943310392</v>
      </c>
      <c r="L23" s="45"/>
      <c r="M23" s="45">
        <f t="shared" si="9"/>
        <v>2427.9120362949388</v>
      </c>
      <c r="N23" s="45">
        <f t="shared" si="10"/>
        <v>51.072991837197137</v>
      </c>
      <c r="O23" s="45">
        <f t="shared" si="11"/>
        <v>123.94925140660681</v>
      </c>
      <c r="P23" s="45"/>
      <c r="Q23" s="45">
        <f t="shared" si="12"/>
        <v>2478.985028132136</v>
      </c>
      <c r="R23" s="45">
        <f t="shared" si="13"/>
        <v>49266.246471398059</v>
      </c>
      <c r="S23" s="45">
        <f t="shared" si="0"/>
        <v>3461.708612019936</v>
      </c>
      <c r="T23" s="42">
        <f t="shared" si="0"/>
        <v>3461.708612019936</v>
      </c>
    </row>
    <row r="24" spans="1:20" x14ac:dyDescent="0.3">
      <c r="A24" s="41">
        <v>21</v>
      </c>
      <c r="B24" s="45">
        <v>0</v>
      </c>
      <c r="C24" s="45">
        <f t="shared" si="1"/>
        <v>-680</v>
      </c>
      <c r="D24" s="45">
        <f t="shared" si="2"/>
        <v>808.11300393003205</v>
      </c>
      <c r="E24" s="45">
        <f t="shared" si="3"/>
        <v>130.61264896240809</v>
      </c>
      <c r="F24" s="45">
        <f t="shared" si="4"/>
        <v>771.55265905415922</v>
      </c>
      <c r="G24" s="45">
        <f t="shared" si="5"/>
        <v>4149.9969755816974</v>
      </c>
      <c r="H24" s="45">
        <f t="shared" si="6"/>
        <v>138.16844850578062</v>
      </c>
      <c r="I24" s="45">
        <f t="shared" si="7"/>
        <v>165.80213820693672</v>
      </c>
      <c r="J24" s="45"/>
      <c r="K24" s="45">
        <f t="shared" si="8"/>
        <v>5484.2458742410136</v>
      </c>
      <c r="L24" s="45"/>
      <c r="M24" s="45">
        <f t="shared" si="9"/>
        <v>2710.7637885232994</v>
      </c>
      <c r="N24" s="45">
        <f t="shared" si="10"/>
        <v>52.605181592313052</v>
      </c>
      <c r="O24" s="45">
        <f t="shared" si="11"/>
        <v>138.16844850578062</v>
      </c>
      <c r="P24" s="45"/>
      <c r="Q24" s="45">
        <f t="shared" si="12"/>
        <v>2763.3689701156122</v>
      </c>
      <c r="R24" s="45">
        <f t="shared" si="13"/>
        <v>54242.137365009265</v>
      </c>
      <c r="S24" s="45">
        <f t="shared" si="0"/>
        <v>3314.2097233338695</v>
      </c>
      <c r="T24" s="42">
        <f t="shared" si="0"/>
        <v>3314.2097233338695</v>
      </c>
    </row>
    <row r="25" spans="1:20" x14ac:dyDescent="0.3">
      <c r="A25" s="41">
        <v>22</v>
      </c>
      <c r="B25" s="45">
        <v>0</v>
      </c>
      <c r="C25" s="45">
        <f t="shared" si="1"/>
        <v>-760</v>
      </c>
      <c r="D25" s="45">
        <f t="shared" si="2"/>
        <v>820.23469898898247</v>
      </c>
      <c r="E25" s="45">
        <f t="shared" si="3"/>
        <v>139.75553438977667</v>
      </c>
      <c r="F25" s="45">
        <f t="shared" si="4"/>
        <v>786.98371223524236</v>
      </c>
      <c r="G25" s="45">
        <f t="shared" si="5"/>
        <v>4772.4965219189517</v>
      </c>
      <c r="H25" s="45">
        <f t="shared" si="6"/>
        <v>154.0375553463173</v>
      </c>
      <c r="I25" s="45">
        <f t="shared" si="7"/>
        <v>184.84506641558076</v>
      </c>
      <c r="J25" s="45"/>
      <c r="K25" s="45">
        <f t="shared" si="8"/>
        <v>6098.3530892948511</v>
      </c>
      <c r="L25" s="45"/>
      <c r="M25" s="45">
        <f t="shared" si="9"/>
        <v>3026.5677698862637</v>
      </c>
      <c r="N25" s="45">
        <f t="shared" si="10"/>
        <v>54.183337040082442</v>
      </c>
      <c r="O25" s="45">
        <f t="shared" si="11"/>
        <v>154.0375553463173</v>
      </c>
      <c r="P25" s="45"/>
      <c r="Q25" s="45">
        <f t="shared" si="12"/>
        <v>3080.751106926346</v>
      </c>
      <c r="R25" s="45">
        <f t="shared" si="13"/>
        <v>59720.593238875197</v>
      </c>
      <c r="S25" s="45">
        <f t="shared" si="0"/>
        <v>3172.995569904861</v>
      </c>
      <c r="T25" s="42">
        <f t="shared" si="0"/>
        <v>3172.995569904861</v>
      </c>
    </row>
    <row r="26" spans="1:20" x14ac:dyDescent="0.3">
      <c r="A26" s="41">
        <v>23</v>
      </c>
      <c r="B26" s="45">
        <v>0</v>
      </c>
      <c r="C26" s="45">
        <f t="shared" si="1"/>
        <v>-840</v>
      </c>
      <c r="D26" s="45">
        <f t="shared" si="2"/>
        <v>832.53821947381709</v>
      </c>
      <c r="E26" s="45">
        <f t="shared" si="3"/>
        <v>149.53842179706103</v>
      </c>
      <c r="F26" s="45">
        <f t="shared" si="4"/>
        <v>802.72338647994718</v>
      </c>
      <c r="G26" s="45">
        <f t="shared" si="5"/>
        <v>5488.3710002067937</v>
      </c>
      <c r="H26" s="45">
        <f t="shared" si="6"/>
        <v>171.74858761146493</v>
      </c>
      <c r="I26" s="45">
        <f t="shared" si="7"/>
        <v>206.09830513375789</v>
      </c>
      <c r="J26" s="45"/>
      <c r="K26" s="45">
        <f t="shared" si="8"/>
        <v>6811.0179207028423</v>
      </c>
      <c r="L26" s="45"/>
      <c r="M26" s="45">
        <f t="shared" si="9"/>
        <v>3379.1629150780132</v>
      </c>
      <c r="N26" s="45">
        <f t="shared" si="10"/>
        <v>55.808837151284919</v>
      </c>
      <c r="O26" s="45">
        <f t="shared" si="11"/>
        <v>171.74858761146493</v>
      </c>
      <c r="P26" s="45"/>
      <c r="Q26" s="45">
        <f t="shared" si="12"/>
        <v>3434.9717522292981</v>
      </c>
      <c r="R26" s="45">
        <f t="shared" si="13"/>
        <v>65752.373156001588</v>
      </c>
      <c r="S26" s="45">
        <f t="shared" si="0"/>
        <v>3037.7983673610884</v>
      </c>
      <c r="T26" s="42">
        <f t="shared" si="0"/>
        <v>3037.7983673610884</v>
      </c>
    </row>
    <row r="27" spans="1:20" ht="15" thickBot="1" x14ac:dyDescent="0.35">
      <c r="A27" s="43">
        <v>24</v>
      </c>
      <c r="B27" s="46">
        <v>0</v>
      </c>
      <c r="C27" s="46">
        <f t="shared" si="1"/>
        <v>-920</v>
      </c>
      <c r="D27" s="46">
        <f t="shared" si="2"/>
        <v>845.02629276592427</v>
      </c>
      <c r="E27" s="46">
        <f t="shared" si="3"/>
        <v>160.0061113228553</v>
      </c>
      <c r="F27" s="46">
        <f t="shared" si="4"/>
        <v>818.77785420954615</v>
      </c>
      <c r="G27" s="46">
        <f t="shared" si="5"/>
        <v>6311.6266502378121</v>
      </c>
      <c r="H27" s="46">
        <f t="shared" si="6"/>
        <v>191.51592484752129</v>
      </c>
      <c r="I27" s="46">
        <f t="shared" si="7"/>
        <v>229.81910981702552</v>
      </c>
      <c r="J27" s="46"/>
      <c r="K27" s="46">
        <f t="shared" si="8"/>
        <v>7636.7719432006843</v>
      </c>
      <c r="L27" s="46"/>
      <c r="M27" s="46">
        <f t="shared" si="9"/>
        <v>3772.8353946846019</v>
      </c>
      <c r="N27" s="46">
        <f t="shared" si="10"/>
        <v>57.483102265823469</v>
      </c>
      <c r="O27" s="46">
        <f t="shared" si="11"/>
        <v>191.51592484752129</v>
      </c>
      <c r="P27" s="46"/>
      <c r="Q27" s="46">
        <f t="shared" si="12"/>
        <v>3830.3184969504255</v>
      </c>
      <c r="R27" s="46">
        <f t="shared" si="13"/>
        <v>72393.36284475775</v>
      </c>
      <c r="S27" s="46">
        <f t="shared" si="0"/>
        <v>2908.3617412735293</v>
      </c>
      <c r="T27" s="44">
        <f t="shared" si="0"/>
        <v>2908.3617412735293</v>
      </c>
    </row>
    <row r="28" spans="1:20" x14ac:dyDescent="0.3">
      <c r="A28" s="40">
        <v>25</v>
      </c>
    </row>
    <row r="29" spans="1:20" x14ac:dyDescent="0.3">
      <c r="R29" s="40" t="s">
        <v>53</v>
      </c>
      <c r="S29" s="85">
        <v>0.15</v>
      </c>
    </row>
    <row r="30" spans="1:20" x14ac:dyDescent="0.3">
      <c r="A30" s="40" t="s">
        <v>62</v>
      </c>
      <c r="B30" s="86" t="s">
        <v>53</v>
      </c>
      <c r="C30" s="87">
        <v>0.15</v>
      </c>
      <c r="R30" s="40" t="s">
        <v>57</v>
      </c>
      <c r="S30" s="85">
        <v>1.23</v>
      </c>
    </row>
    <row r="31" spans="1:20" x14ac:dyDescent="0.3">
      <c r="B31" s="86" t="s">
        <v>57</v>
      </c>
      <c r="C31" s="87">
        <v>1.23</v>
      </c>
    </row>
  </sheetData>
  <mergeCells count="2">
    <mergeCell ref="B2:D2"/>
    <mergeCell ref="H2:I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Q1</vt:lpstr>
      <vt:lpstr>Q2</vt:lpstr>
      <vt:lpstr>Q3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monisha sana</dc:creator>
  <cp:lastModifiedBy>monisha sana</cp:lastModifiedBy>
  <dcterms:created xsi:type="dcterms:W3CDTF">2022-02-17T06:56:32Z</dcterms:created>
  <dcterms:modified xsi:type="dcterms:W3CDTF">2022-02-22T17:49:54Z</dcterms:modified>
</cp:coreProperties>
</file>